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showInkAnnotation="0"/>
  <xr:revisionPtr revIDLastSave="0" documentId="13_ncr:1_{A858B256-63DC-4D4F-B701-771C35349BF3}" xr6:coauthVersionLast="47" xr6:coauthVersionMax="47" xr10:uidLastSave="{00000000-0000-0000-0000-000000000000}"/>
  <bookViews>
    <workbookView xWindow="-25320" yWindow="-120" windowWidth="25440" windowHeight="15390" tabRatio="565" activeTab="1" xr2:uid="{00000000-000D-0000-FFFF-FFFF00000000}"/>
  </bookViews>
  <sheets>
    <sheet name="Übersicht" sheetId="8" r:id="rId1"/>
    <sheet name="BB" sheetId="14" r:id="rId2"/>
    <sheet name="DD" sheetId="16" r:id="rId3"/>
    <sheet name="TT" sheetId="12" r:id="rId4"/>
    <sheet name="GG" sheetId="13" r:id="rId5"/>
  </sheets>
  <definedNames>
    <definedName name="_FilterDatabase" localSheetId="0" hidden="1">Übersicht!$A$3:$W$18</definedName>
    <definedName name="Zimmerliste" localSheetId="1">#REF!</definedName>
    <definedName name="Zimmerliste" localSheetId="2">#REF!</definedName>
    <definedName name="Zimmerliste" localSheetId="4">#REF!</definedName>
    <definedName name="Zimmerliste" localSheetId="3">#REF!</definedName>
    <definedName name="Zimmerliste" localSheetId="0">#REF!</definedName>
    <definedName name="Zimmerli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3" l="1"/>
  <c r="C6" i="13"/>
  <c r="C7" i="13"/>
  <c r="C8" i="13"/>
  <c r="C9" i="13"/>
  <c r="C10" i="13"/>
  <c r="C11" i="13"/>
  <c r="C12" i="13"/>
  <c r="C13" i="13"/>
  <c r="C14" i="13"/>
  <c r="C15" i="13"/>
  <c r="C4" i="13"/>
  <c r="D16" i="12"/>
  <c r="C6" i="12"/>
  <c r="C7" i="12"/>
  <c r="C8" i="12"/>
  <c r="C9" i="12"/>
  <c r="C10" i="12"/>
  <c r="C11" i="12"/>
  <c r="C12" i="12"/>
  <c r="C13" i="12"/>
  <c r="C14" i="12"/>
  <c r="C15" i="12"/>
  <c r="C16" i="12"/>
  <c r="C5" i="12"/>
  <c r="C4" i="16"/>
  <c r="C5" i="16"/>
  <c r="C6" i="16"/>
  <c r="C7" i="16"/>
  <c r="C8" i="16"/>
  <c r="C9" i="16"/>
  <c r="C10" i="16"/>
  <c r="C11" i="16"/>
  <c r="C12" i="16"/>
  <c r="C13" i="16"/>
  <c r="C14" i="16"/>
  <c r="C15" i="16"/>
  <c r="C4" i="14"/>
  <c r="A5" i="8"/>
  <c r="A6" i="8"/>
  <c r="A7" i="8"/>
  <c r="A8" i="8"/>
  <c r="F5" i="14" l="1"/>
  <c r="F6" i="14"/>
  <c r="F7" i="14"/>
  <c r="F8" i="14"/>
  <c r="F9" i="14"/>
  <c r="F10" i="14"/>
  <c r="F11" i="14"/>
  <c r="F12" i="14"/>
  <c r="F13" i="14"/>
  <c r="F14" i="14"/>
  <c r="F15" i="14"/>
  <c r="B32" i="14"/>
  <c r="Q3" i="14" l="1"/>
  <c r="F4" i="14"/>
  <c r="D15" i="16" l="1"/>
  <c r="D19" i="16" s="1"/>
  <c r="G8" i="16"/>
  <c r="E19" i="16"/>
  <c r="F19" i="16"/>
  <c r="G5" i="16"/>
  <c r="G6" i="16"/>
  <c r="G9" i="16"/>
  <c r="G10" i="16"/>
  <c r="G11" i="16"/>
  <c r="G12" i="16"/>
  <c r="G13" i="16"/>
  <c r="G14" i="16"/>
  <c r="G4" i="16"/>
  <c r="G7" i="16" l="1"/>
  <c r="G15" i="16"/>
  <c r="F6" i="12"/>
  <c r="F7" i="12"/>
  <c r="F8" i="12"/>
  <c r="F9" i="12"/>
  <c r="F10" i="12"/>
  <c r="F11" i="12"/>
  <c r="F12" i="12"/>
  <c r="F13" i="12"/>
  <c r="F14" i="12"/>
  <c r="F15" i="12"/>
  <c r="F16" i="12"/>
  <c r="F5" i="12"/>
  <c r="K3" i="8"/>
  <c r="J3" i="14" s="1"/>
  <c r="F12" i="13" l="1"/>
  <c r="G19" i="12" l="1"/>
  <c r="E20" i="12"/>
  <c r="G6" i="12"/>
  <c r="G7" i="12"/>
  <c r="G8" i="12"/>
  <c r="G9" i="12"/>
  <c r="G10" i="12"/>
  <c r="G11" i="12"/>
  <c r="G12" i="12"/>
  <c r="G13" i="12"/>
  <c r="G14" i="12"/>
  <c r="G15" i="12"/>
  <c r="G16" i="12"/>
  <c r="G5" i="12"/>
  <c r="R3" i="13" l="1"/>
  <c r="R2" i="13"/>
  <c r="Q3" i="13"/>
  <c r="Q12" i="13" l="1"/>
  <c r="T4" i="12"/>
  <c r="T3" i="12"/>
  <c r="R4" i="12"/>
  <c r="T19" i="12" l="1"/>
  <c r="R10" i="12"/>
  <c r="R14" i="12"/>
  <c r="R8" i="12"/>
  <c r="R13" i="12"/>
  <c r="R11" i="12"/>
  <c r="R9" i="12"/>
  <c r="R12" i="12"/>
  <c r="R5" i="12"/>
  <c r="R15" i="12"/>
  <c r="R6" i="12"/>
  <c r="R19" i="12"/>
  <c r="R7" i="12"/>
  <c r="R16" i="12"/>
  <c r="R3" i="16"/>
  <c r="M3" i="16"/>
  <c r="R5" i="16" l="1"/>
  <c r="R6" i="16"/>
  <c r="R13" i="16"/>
  <c r="R12" i="16"/>
  <c r="R4" i="16"/>
  <c r="R9" i="16"/>
  <c r="R14" i="16"/>
  <c r="R8" i="16"/>
  <c r="R11" i="16"/>
  <c r="R10" i="16"/>
  <c r="R7" i="16"/>
  <c r="R15" i="16"/>
  <c r="J3" i="13"/>
  <c r="K4" i="12"/>
  <c r="K3" i="16"/>
  <c r="C19" i="13"/>
  <c r="E6" i="8" s="1"/>
  <c r="D8" i="8" l="1"/>
  <c r="C8" i="8"/>
  <c r="B8" i="8"/>
  <c r="D7" i="8" l="1"/>
  <c r="C7" i="8"/>
  <c r="B7" i="8"/>
  <c r="U19" i="16" l="1"/>
  <c r="V8" i="8" s="1"/>
  <c r="T19" i="16"/>
  <c r="U8" i="8" s="1"/>
  <c r="Q19" i="16"/>
  <c r="Q8" i="8" s="1"/>
  <c r="P19" i="16"/>
  <c r="P8" i="8" s="1"/>
  <c r="W19" i="16"/>
  <c r="B4" i="16"/>
  <c r="I3" i="16"/>
  <c r="H3" i="16"/>
  <c r="H4" i="16" l="1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H5" i="16" l="1"/>
  <c r="C19" i="16"/>
  <c r="E8" i="8" s="1"/>
  <c r="H6" i="16" l="1"/>
  <c r="R19" i="16"/>
  <c r="R8" i="8" s="1"/>
  <c r="G19" i="16"/>
  <c r="G8" i="8" s="1"/>
  <c r="H7" i="16" l="1"/>
  <c r="I8" i="16"/>
  <c r="I10" i="16"/>
  <c r="I13" i="16"/>
  <c r="I9" i="16"/>
  <c r="I6" i="16"/>
  <c r="I7" i="16"/>
  <c r="I4" i="16"/>
  <c r="I12" i="16"/>
  <c r="I5" i="16"/>
  <c r="I14" i="16"/>
  <c r="I15" i="16"/>
  <c r="I11" i="16"/>
  <c r="T19" i="14"/>
  <c r="V7" i="8" s="1"/>
  <c r="S19" i="14"/>
  <c r="U7" i="8" s="1"/>
  <c r="O19" i="14"/>
  <c r="P7" i="8" s="1"/>
  <c r="E19" i="14"/>
  <c r="F7" i="8" s="1"/>
  <c r="Q13" i="14"/>
  <c r="Q9" i="14"/>
  <c r="P19" i="14"/>
  <c r="Q7" i="8" s="1"/>
  <c r="Q5" i="14"/>
  <c r="Q4" i="14"/>
  <c r="B4" i="14"/>
  <c r="B5" i="14" s="1"/>
  <c r="G5" i="14" s="1"/>
  <c r="H3" i="14"/>
  <c r="G3" i="14"/>
  <c r="D6" i="8"/>
  <c r="D5" i="8"/>
  <c r="C6" i="8"/>
  <c r="B6" i="8"/>
  <c r="C5" i="8"/>
  <c r="B5" i="8"/>
  <c r="H8" i="16" l="1"/>
  <c r="I19" i="16"/>
  <c r="G4" i="14"/>
  <c r="B6" i="14"/>
  <c r="Q6" i="14"/>
  <c r="Q10" i="14"/>
  <c r="Q14" i="14"/>
  <c r="Q7" i="14"/>
  <c r="Q11" i="14"/>
  <c r="Q15" i="14"/>
  <c r="C19" i="14"/>
  <c r="E7" i="8" s="1"/>
  <c r="Q8" i="14"/>
  <c r="Q12" i="14"/>
  <c r="T19" i="13"/>
  <c r="V6" i="8" s="1"/>
  <c r="S19" i="13"/>
  <c r="U6" i="8" s="1"/>
  <c r="O19" i="13"/>
  <c r="P6" i="8" s="1"/>
  <c r="E19" i="13"/>
  <c r="F6" i="8" s="1"/>
  <c r="F13" i="13"/>
  <c r="Q13" i="13" s="1"/>
  <c r="F9" i="13"/>
  <c r="Q9" i="13" s="1"/>
  <c r="F5" i="13"/>
  <c r="Q5" i="13" s="1"/>
  <c r="B4" i="13"/>
  <c r="G4" i="13" s="1"/>
  <c r="H3" i="13"/>
  <c r="G3" i="13"/>
  <c r="B5" i="13" l="1"/>
  <c r="G5" i="13" s="1"/>
  <c r="R5" i="13" s="1"/>
  <c r="H9" i="16"/>
  <c r="P19" i="13"/>
  <c r="Q6" i="8" s="1"/>
  <c r="G6" i="14"/>
  <c r="B7" i="14"/>
  <c r="F6" i="13"/>
  <c r="Q6" i="13" s="1"/>
  <c r="F10" i="13"/>
  <c r="Q10" i="13" s="1"/>
  <c r="F14" i="13"/>
  <c r="Q14" i="13" s="1"/>
  <c r="F7" i="13"/>
  <c r="Q7" i="13" s="1"/>
  <c r="F11" i="13"/>
  <c r="Q11" i="13" s="1"/>
  <c r="F15" i="13"/>
  <c r="Q15" i="13" s="1"/>
  <c r="F4" i="13"/>
  <c r="Q4" i="13" s="1"/>
  <c r="F8" i="13"/>
  <c r="Q8" i="13" s="1"/>
  <c r="V20" i="12"/>
  <c r="V5" i="8" s="1"/>
  <c r="V19" i="8" s="1"/>
  <c r="U20" i="12"/>
  <c r="U5" i="8" s="1"/>
  <c r="U19" i="8" s="1"/>
  <c r="E30" i="8" s="1"/>
  <c r="P20" i="12"/>
  <c r="P5" i="8" s="1"/>
  <c r="P19" i="8" s="1"/>
  <c r="E26" i="8" s="1"/>
  <c r="F20" i="12"/>
  <c r="F5" i="8" s="1"/>
  <c r="B5" i="12"/>
  <c r="H5" i="12" s="1"/>
  <c r="T5" i="12" s="1"/>
  <c r="I4" i="12"/>
  <c r="H4" i="12"/>
  <c r="R4" i="13" l="1"/>
  <c r="B6" i="13"/>
  <c r="B7" i="13" s="1"/>
  <c r="H10" i="16"/>
  <c r="B6" i="12"/>
  <c r="H6" i="12" s="1"/>
  <c r="T6" i="12" s="1"/>
  <c r="G7" i="14"/>
  <c r="B8" i="14"/>
  <c r="Q19" i="14"/>
  <c r="R7" i="8" s="1"/>
  <c r="F19" i="14"/>
  <c r="G7" i="8" s="1"/>
  <c r="G20" i="8" s="1"/>
  <c r="Q20" i="12"/>
  <c r="Q5" i="8" s="1"/>
  <c r="Q19" i="8" s="1"/>
  <c r="E27" i="8" s="1"/>
  <c r="G6" i="13" l="1"/>
  <c r="R6" i="13" s="1"/>
  <c r="C20" i="12"/>
  <c r="E5" i="8" s="1"/>
  <c r="S20" i="12"/>
  <c r="S5" i="8" s="1"/>
  <c r="S19" i="8" s="1"/>
  <c r="B7" i="12"/>
  <c r="B8" i="12" s="1"/>
  <c r="H11" i="16"/>
  <c r="H11" i="14"/>
  <c r="H7" i="14"/>
  <c r="H9" i="14"/>
  <c r="H5" i="14"/>
  <c r="H15" i="14"/>
  <c r="H14" i="14"/>
  <c r="H6" i="14"/>
  <c r="H10" i="14"/>
  <c r="H4" i="14"/>
  <c r="H13" i="14"/>
  <c r="H12" i="14"/>
  <c r="H8" i="14"/>
  <c r="B9" i="14"/>
  <c r="G8" i="14"/>
  <c r="Q19" i="13"/>
  <c r="R6" i="8" s="1"/>
  <c r="F19" i="13"/>
  <c r="G6" i="8" s="1"/>
  <c r="B8" i="13"/>
  <c r="G7" i="13"/>
  <c r="R7" i="13" s="1"/>
  <c r="R20" i="12" l="1"/>
  <c r="R5" i="8" s="1"/>
  <c r="R19" i="8" s="1"/>
  <c r="E28" i="8" s="1"/>
  <c r="G20" i="12"/>
  <c r="G5" i="8" s="1"/>
  <c r="H7" i="12"/>
  <c r="T7" i="12" s="1"/>
  <c r="H12" i="16"/>
  <c r="H19" i="14"/>
  <c r="I7" i="8" s="1"/>
  <c r="B10" i="14"/>
  <c r="G9" i="14"/>
  <c r="H15" i="13"/>
  <c r="H11" i="13"/>
  <c r="H7" i="13"/>
  <c r="H14" i="13"/>
  <c r="H10" i="13"/>
  <c r="H6" i="13"/>
  <c r="H13" i="13"/>
  <c r="H9" i="13"/>
  <c r="H5" i="13"/>
  <c r="H12" i="13"/>
  <c r="H8" i="13"/>
  <c r="H4" i="13"/>
  <c r="G8" i="13"/>
  <c r="R8" i="13" s="1"/>
  <c r="B9" i="13"/>
  <c r="H8" i="12"/>
  <c r="T8" i="12" s="1"/>
  <c r="B9" i="12"/>
  <c r="I5" i="12" l="1"/>
  <c r="I15" i="12"/>
  <c r="I12" i="12"/>
  <c r="G19" i="8"/>
  <c r="G21" i="8"/>
  <c r="G22" i="8" s="1"/>
  <c r="I16" i="12"/>
  <c r="I8" i="12"/>
  <c r="I13" i="12"/>
  <c r="I9" i="12"/>
  <c r="I6" i="12"/>
  <c r="I7" i="12"/>
  <c r="I19" i="12"/>
  <c r="I10" i="12"/>
  <c r="I14" i="12"/>
  <c r="I11" i="12"/>
  <c r="H13" i="16"/>
  <c r="B11" i="14"/>
  <c r="G10" i="14"/>
  <c r="G9" i="13"/>
  <c r="R9" i="13" s="1"/>
  <c r="B10" i="13"/>
  <c r="H19" i="13"/>
  <c r="I6" i="8" s="1"/>
  <c r="H9" i="12"/>
  <c r="T9" i="12" s="1"/>
  <c r="B10" i="12"/>
  <c r="S3" i="16"/>
  <c r="I20" i="12" l="1"/>
  <c r="I5" i="8" s="1"/>
  <c r="H15" i="16"/>
  <c r="S15" i="16" s="1"/>
  <c r="H14" i="16"/>
  <c r="S14" i="16" s="1"/>
  <c r="S2" i="16"/>
  <c r="R3" i="14"/>
  <c r="R2" i="14"/>
  <c r="G11" i="14"/>
  <c r="B12" i="14"/>
  <c r="B11" i="13"/>
  <c r="G10" i="13"/>
  <c r="R10" i="13" s="1"/>
  <c r="B11" i="12"/>
  <c r="H10" i="12"/>
  <c r="T10" i="12" s="1"/>
  <c r="S4" i="16" l="1"/>
  <c r="S5" i="16"/>
  <c r="S6" i="16"/>
  <c r="S7" i="16"/>
  <c r="S8" i="16"/>
  <c r="S9" i="16"/>
  <c r="S10" i="16"/>
  <c r="S11" i="16"/>
  <c r="S12" i="16"/>
  <c r="S13" i="16"/>
  <c r="H19" i="16"/>
  <c r="B13" i="14"/>
  <c r="G12" i="14"/>
  <c r="G11" i="13"/>
  <c r="R11" i="13" s="1"/>
  <c r="B12" i="13"/>
  <c r="B12" i="12"/>
  <c r="H11" i="12"/>
  <c r="T11" i="12" s="1"/>
  <c r="S19" i="16" l="1"/>
  <c r="G13" i="14"/>
  <c r="B14" i="14"/>
  <c r="B13" i="13"/>
  <c r="G12" i="13"/>
  <c r="R12" i="13" s="1"/>
  <c r="B13" i="12"/>
  <c r="H12" i="12"/>
  <c r="T12" i="12" s="1"/>
  <c r="F19" i="8"/>
  <c r="A1" i="8"/>
  <c r="H3" i="8"/>
  <c r="T8" i="8" l="1"/>
  <c r="W20" i="16"/>
  <c r="A1" i="16"/>
  <c r="A1" i="14"/>
  <c r="I13" i="14" s="1"/>
  <c r="J13" i="14" s="1"/>
  <c r="A1" i="13"/>
  <c r="I12" i="13" s="1"/>
  <c r="J12" i="13" s="1"/>
  <c r="A1" i="12"/>
  <c r="J12" i="12" s="1"/>
  <c r="K12" i="12" s="1"/>
  <c r="G14" i="14"/>
  <c r="B15" i="14"/>
  <c r="G15" i="14" s="1"/>
  <c r="G13" i="13"/>
  <c r="R13" i="13" s="1"/>
  <c r="B14" i="13"/>
  <c r="B14" i="12"/>
  <c r="H13" i="12"/>
  <c r="T13" i="12" s="1"/>
  <c r="E19" i="8"/>
  <c r="J6" i="16" l="1"/>
  <c r="K6" i="16" s="1"/>
  <c r="J9" i="16"/>
  <c r="K9" i="16" s="1"/>
  <c r="J4" i="16"/>
  <c r="K4" i="16" s="1"/>
  <c r="J10" i="16"/>
  <c r="K10" i="16" s="1"/>
  <c r="J8" i="16"/>
  <c r="K8" i="16" s="1"/>
  <c r="J5" i="16"/>
  <c r="K5" i="16" s="1"/>
  <c r="J7" i="16"/>
  <c r="K7" i="16" s="1"/>
  <c r="J12" i="16"/>
  <c r="K12" i="16" s="1"/>
  <c r="J13" i="16"/>
  <c r="K13" i="16" s="1"/>
  <c r="J14" i="16"/>
  <c r="K14" i="16" s="1"/>
  <c r="J11" i="16"/>
  <c r="K11" i="16" s="1"/>
  <c r="J15" i="16"/>
  <c r="K15" i="16" s="1"/>
  <c r="J5" i="12"/>
  <c r="K5" i="12" s="1"/>
  <c r="J8" i="12"/>
  <c r="K8" i="12" s="1"/>
  <c r="J19" i="12"/>
  <c r="K19" i="12" s="1"/>
  <c r="J7" i="12"/>
  <c r="K7" i="12" s="1"/>
  <c r="J6" i="12"/>
  <c r="K6" i="12" s="1"/>
  <c r="J9" i="12"/>
  <c r="K9" i="12" s="1"/>
  <c r="J10" i="12"/>
  <c r="K10" i="12" s="1"/>
  <c r="J11" i="12"/>
  <c r="K11" i="12" s="1"/>
  <c r="I7" i="13"/>
  <c r="J7" i="13" s="1"/>
  <c r="I4" i="13"/>
  <c r="J4" i="13" s="1"/>
  <c r="I8" i="13"/>
  <c r="J8" i="13" s="1"/>
  <c r="I5" i="13"/>
  <c r="J5" i="13" s="1"/>
  <c r="I6" i="13"/>
  <c r="J6" i="13" s="1"/>
  <c r="I9" i="13"/>
  <c r="J9" i="13" s="1"/>
  <c r="I10" i="13"/>
  <c r="J10" i="13" s="1"/>
  <c r="I11" i="13"/>
  <c r="J11" i="13" s="1"/>
  <c r="I6" i="14"/>
  <c r="I5" i="14"/>
  <c r="I7" i="14"/>
  <c r="I8" i="14"/>
  <c r="I4" i="14"/>
  <c r="I9" i="14"/>
  <c r="I10" i="14"/>
  <c r="I11" i="14"/>
  <c r="I12" i="14"/>
  <c r="I15" i="14"/>
  <c r="J15" i="14" s="1"/>
  <c r="G19" i="14"/>
  <c r="H7" i="8" s="1"/>
  <c r="I14" i="14"/>
  <c r="K13" i="14"/>
  <c r="I13" i="13"/>
  <c r="J13" i="13" s="1"/>
  <c r="K12" i="13"/>
  <c r="L12" i="13" s="1"/>
  <c r="B15" i="13"/>
  <c r="G15" i="13" s="1"/>
  <c r="R15" i="13" s="1"/>
  <c r="G14" i="13"/>
  <c r="R14" i="13" s="1"/>
  <c r="J13" i="12"/>
  <c r="K13" i="12" s="1"/>
  <c r="L12" i="12"/>
  <c r="M12" i="12" s="1"/>
  <c r="H14" i="12"/>
  <c r="T14" i="12" s="1"/>
  <c r="B15" i="12"/>
  <c r="L9" i="12" l="1"/>
  <c r="M9" i="12" s="1"/>
  <c r="L10" i="12"/>
  <c r="M10" i="12" s="1"/>
  <c r="N12" i="12"/>
  <c r="O12" i="12" s="1"/>
  <c r="L12" i="16"/>
  <c r="M12" i="16" s="1"/>
  <c r="L5" i="16"/>
  <c r="M5" i="16" s="1"/>
  <c r="L8" i="16"/>
  <c r="M8" i="16" s="1"/>
  <c r="L10" i="16"/>
  <c r="M10" i="16" s="1"/>
  <c r="L7" i="16"/>
  <c r="M7" i="16" s="1"/>
  <c r="L15" i="16"/>
  <c r="M15" i="16" s="1"/>
  <c r="L4" i="16"/>
  <c r="M4" i="16" s="1"/>
  <c r="J19" i="16"/>
  <c r="J8" i="8" s="1"/>
  <c r="J20" i="8" s="1"/>
  <c r="L11" i="16"/>
  <c r="M11" i="16" s="1"/>
  <c r="L9" i="16"/>
  <c r="M9" i="16" s="1"/>
  <c r="L13" i="16"/>
  <c r="M13" i="16" s="1"/>
  <c r="L14" i="16"/>
  <c r="M14" i="16" s="1"/>
  <c r="L6" i="16"/>
  <c r="M6" i="16" s="1"/>
  <c r="K4" i="13"/>
  <c r="L4" i="13" s="1"/>
  <c r="K6" i="14"/>
  <c r="L6" i="14" s="1"/>
  <c r="J6" i="14"/>
  <c r="L11" i="12"/>
  <c r="M11" i="12" s="1"/>
  <c r="K7" i="13"/>
  <c r="L7" i="13" s="1"/>
  <c r="J12" i="14"/>
  <c r="K12" i="14"/>
  <c r="L12" i="14" s="1"/>
  <c r="K11" i="13"/>
  <c r="L11" i="13" s="1"/>
  <c r="J11" i="14"/>
  <c r="K11" i="14"/>
  <c r="L11" i="14" s="1"/>
  <c r="K10" i="13"/>
  <c r="L10" i="13" s="1"/>
  <c r="J10" i="14"/>
  <c r="K10" i="14"/>
  <c r="L10" i="14" s="1"/>
  <c r="K9" i="13"/>
  <c r="L9" i="13" s="1"/>
  <c r="L6" i="12"/>
  <c r="M6" i="12" s="1"/>
  <c r="J9" i="14"/>
  <c r="K9" i="14"/>
  <c r="L9" i="14" s="1"/>
  <c r="L7" i="12"/>
  <c r="M7" i="12" s="1"/>
  <c r="J4" i="14"/>
  <c r="K4" i="14"/>
  <c r="K6" i="13"/>
  <c r="L6" i="13" s="1"/>
  <c r="J8" i="14"/>
  <c r="K8" i="14"/>
  <c r="L8" i="14" s="1"/>
  <c r="K5" i="13"/>
  <c r="L5" i="13" s="1"/>
  <c r="K8" i="13"/>
  <c r="L8" i="13" s="1"/>
  <c r="J7" i="14"/>
  <c r="K7" i="14"/>
  <c r="L7" i="14" s="1"/>
  <c r="L8" i="12"/>
  <c r="M8" i="12" s="1"/>
  <c r="J5" i="14"/>
  <c r="K5" i="14"/>
  <c r="L5" i="14" s="1"/>
  <c r="L5" i="12"/>
  <c r="M5" i="12" s="1"/>
  <c r="K15" i="14"/>
  <c r="L15" i="14" s="1"/>
  <c r="J14" i="14"/>
  <c r="I19" i="14"/>
  <c r="J7" i="8" s="1"/>
  <c r="L13" i="14"/>
  <c r="M13" i="14"/>
  <c r="N13" i="14" s="1"/>
  <c r="R19" i="14"/>
  <c r="K14" i="14"/>
  <c r="L14" i="14" s="1"/>
  <c r="M12" i="13"/>
  <c r="N12" i="13" s="1"/>
  <c r="U12" i="13" s="1"/>
  <c r="K13" i="13"/>
  <c r="L13" i="13" s="1"/>
  <c r="G19" i="13"/>
  <c r="H6" i="8" s="1"/>
  <c r="I15" i="13"/>
  <c r="J15" i="13" s="1"/>
  <c r="I14" i="13"/>
  <c r="J14" i="13" s="1"/>
  <c r="H15" i="12"/>
  <c r="T15" i="12" s="1"/>
  <c r="B16" i="12"/>
  <c r="H16" i="12" s="1"/>
  <c r="T16" i="12" s="1"/>
  <c r="L13" i="12"/>
  <c r="M13" i="12" s="1"/>
  <c r="J14" i="12"/>
  <c r="K14" i="12" s="1"/>
  <c r="I19" i="8"/>
  <c r="T7" i="8" l="1"/>
  <c r="V20" i="14"/>
  <c r="N8" i="16"/>
  <c r="O8" i="16" s="1"/>
  <c r="N11" i="12"/>
  <c r="O11" i="12" s="1"/>
  <c r="W11" i="12" s="1"/>
  <c r="M13" i="13"/>
  <c r="N13" i="13" s="1"/>
  <c r="M6" i="13"/>
  <c r="N6" i="13" s="1"/>
  <c r="U6" i="13" s="1"/>
  <c r="W12" i="12"/>
  <c r="N9" i="16"/>
  <c r="O9" i="16" s="1"/>
  <c r="M7" i="14"/>
  <c r="N7" i="14" s="1"/>
  <c r="U7" i="14" s="1"/>
  <c r="M6" i="14"/>
  <c r="N6" i="14" s="1"/>
  <c r="U6" i="14" s="1"/>
  <c r="M11" i="14"/>
  <c r="N11" i="14" s="1"/>
  <c r="U11" i="14" s="1"/>
  <c r="M9" i="13"/>
  <c r="N9" i="13" s="1"/>
  <c r="U9" i="13" s="1"/>
  <c r="M7" i="13"/>
  <c r="N7" i="13" s="1"/>
  <c r="U7" i="13" s="1"/>
  <c r="N11" i="16"/>
  <c r="O11" i="16" s="1"/>
  <c r="V11" i="16" s="1"/>
  <c r="N10" i="16"/>
  <c r="O10" i="16" s="1"/>
  <c r="N9" i="12"/>
  <c r="O9" i="12" s="1"/>
  <c r="W9" i="12" s="1"/>
  <c r="N8" i="12"/>
  <c r="O8" i="12" s="1"/>
  <c r="W8" i="12" s="1"/>
  <c r="K19" i="16"/>
  <c r="K8" i="8" s="1"/>
  <c r="N13" i="16"/>
  <c r="O13" i="16" s="1"/>
  <c r="N15" i="16"/>
  <c r="O15" i="16" s="1"/>
  <c r="N5" i="16"/>
  <c r="O5" i="16" s="1"/>
  <c r="V5" i="16" s="1"/>
  <c r="N7" i="16"/>
  <c r="O7" i="16" s="1"/>
  <c r="M5" i="13"/>
  <c r="N5" i="13" s="1"/>
  <c r="U5" i="13" s="1"/>
  <c r="N6" i="16"/>
  <c r="O6" i="16" s="1"/>
  <c r="N12" i="16"/>
  <c r="O12" i="16" s="1"/>
  <c r="V12" i="16" s="1"/>
  <c r="M12" i="14"/>
  <c r="N12" i="14" s="1"/>
  <c r="U12" i="14" s="1"/>
  <c r="M8" i="14"/>
  <c r="N8" i="14" s="1"/>
  <c r="U8" i="14" s="1"/>
  <c r="N6" i="12"/>
  <c r="O6" i="12" s="1"/>
  <c r="W6" i="12" s="1"/>
  <c r="N14" i="16"/>
  <c r="O14" i="16" s="1"/>
  <c r="V14" i="16" s="1"/>
  <c r="N4" i="16"/>
  <c r="M10" i="13"/>
  <c r="N10" i="13" s="1"/>
  <c r="U10" i="13" s="1"/>
  <c r="M8" i="13"/>
  <c r="N8" i="13" s="1"/>
  <c r="U8" i="13" s="1"/>
  <c r="M4" i="14"/>
  <c r="N4" i="14" s="1"/>
  <c r="L4" i="14"/>
  <c r="N5" i="12"/>
  <c r="O5" i="12" s="1"/>
  <c r="W5" i="12" s="1"/>
  <c r="M5" i="14"/>
  <c r="N5" i="14" s="1"/>
  <c r="U5" i="14" s="1"/>
  <c r="N7" i="12"/>
  <c r="O7" i="12" s="1"/>
  <c r="W7" i="12" s="1"/>
  <c r="M10" i="14"/>
  <c r="N10" i="14" s="1"/>
  <c r="U10" i="14" s="1"/>
  <c r="N10" i="12"/>
  <c r="O10" i="12" s="1"/>
  <c r="W10" i="12" s="1"/>
  <c r="M9" i="14"/>
  <c r="N9" i="14" s="1"/>
  <c r="U9" i="14" s="1"/>
  <c r="M11" i="13"/>
  <c r="N11" i="13" s="1"/>
  <c r="U11" i="13" s="1"/>
  <c r="M4" i="13"/>
  <c r="N4" i="13" s="1"/>
  <c r="M15" i="14"/>
  <c r="N15" i="14" s="1"/>
  <c r="U15" i="14" s="1"/>
  <c r="J19" i="14"/>
  <c r="K7" i="8" s="1"/>
  <c r="U13" i="14"/>
  <c r="M14" i="14"/>
  <c r="N14" i="14" s="1"/>
  <c r="U14" i="14" s="1"/>
  <c r="K14" i="13"/>
  <c r="L14" i="13" s="1"/>
  <c r="R19" i="13"/>
  <c r="I19" i="13"/>
  <c r="J6" i="8" s="1"/>
  <c r="J19" i="13"/>
  <c r="K6" i="8" s="1"/>
  <c r="K15" i="13"/>
  <c r="L15" i="13" s="1"/>
  <c r="N13" i="12"/>
  <c r="O13" i="12" s="1"/>
  <c r="W13" i="12" s="1"/>
  <c r="J16" i="12"/>
  <c r="K16" i="12" s="1"/>
  <c r="H20" i="12"/>
  <c r="H5" i="8" s="1"/>
  <c r="L14" i="12"/>
  <c r="M14" i="12" s="1"/>
  <c r="J15" i="12"/>
  <c r="K15" i="12" s="1"/>
  <c r="V6" i="16" l="1"/>
  <c r="X6" i="16" s="1"/>
  <c r="V15" i="16"/>
  <c r="X15" i="16" s="1"/>
  <c r="V8" i="16"/>
  <c r="X8" i="16" s="1"/>
  <c r="V10" i="16"/>
  <c r="X10" i="16" s="1"/>
  <c r="X11" i="16"/>
  <c r="V9" i="16"/>
  <c r="X9" i="16" s="1"/>
  <c r="V13" i="16"/>
  <c r="X13" i="16" s="1"/>
  <c r="V7" i="16"/>
  <c r="X7" i="16" s="1"/>
  <c r="U13" i="13"/>
  <c r="T6" i="8"/>
  <c r="V20" i="13"/>
  <c r="X14" i="16"/>
  <c r="X5" i="16"/>
  <c r="U4" i="14"/>
  <c r="U4" i="13"/>
  <c r="X12" i="16"/>
  <c r="O4" i="16"/>
  <c r="V4" i="16" s="1"/>
  <c r="M14" i="13"/>
  <c r="N14" i="13" s="1"/>
  <c r="U14" i="13" s="1"/>
  <c r="M15" i="13"/>
  <c r="N15" i="13" s="1"/>
  <c r="U15" i="13" s="1"/>
  <c r="L16" i="12"/>
  <c r="M16" i="12" s="1"/>
  <c r="L15" i="12"/>
  <c r="M15" i="12" s="1"/>
  <c r="T20" i="12"/>
  <c r="T5" i="8" s="1"/>
  <c r="J20" i="12"/>
  <c r="J5" i="8" s="1"/>
  <c r="N14" i="12"/>
  <c r="O14" i="12" s="1"/>
  <c r="W14" i="12" s="1"/>
  <c r="T19" i="8" l="1"/>
  <c r="E29" i="8" s="1"/>
  <c r="J19" i="8"/>
  <c r="J21" i="8"/>
  <c r="J22" i="8" s="1"/>
  <c r="N15" i="12"/>
  <c r="O15" i="12" s="1"/>
  <c r="W15" i="12" s="1"/>
  <c r="X4" i="16"/>
  <c r="X16" i="16"/>
  <c r="K20" i="12"/>
  <c r="N16" i="12"/>
  <c r="O16" i="12" s="1"/>
  <c r="W16" i="12" s="1"/>
  <c r="K5" i="8" l="1"/>
  <c r="K19" i="8" s="1"/>
  <c r="Y4" i="16"/>
  <c r="Y5" i="16" s="1"/>
  <c r="Y6" i="16" s="1"/>
  <c r="Y7" i="16" s="1"/>
  <c r="Y8" i="16" s="1"/>
  <c r="Y9" i="16" s="1"/>
  <c r="Y10" i="16" s="1"/>
  <c r="Y11" i="16" s="1"/>
  <c r="Y12" i="16" s="1"/>
  <c r="Y13" i="16" s="1"/>
  <c r="Y14" i="16" s="1"/>
  <c r="Y15" i="16" s="1"/>
  <c r="Y16" i="16" s="1"/>
  <c r="M19" i="16"/>
  <c r="M8" i="8" s="1"/>
  <c r="L19" i="16"/>
  <c r="L8" i="8" s="1"/>
  <c r="X17" i="16"/>
  <c r="N19" i="14"/>
  <c r="O7" i="8" s="1"/>
  <c r="K19" i="14"/>
  <c r="L7" i="8" s="1"/>
  <c r="W18" i="12" l="1"/>
  <c r="L19" i="12"/>
  <c r="M19" i="12" s="1"/>
  <c r="W17" i="12"/>
  <c r="Y17" i="16"/>
  <c r="O19" i="16"/>
  <c r="O8" i="8" s="1"/>
  <c r="N19" i="16"/>
  <c r="N8" i="8" s="1"/>
  <c r="M19" i="14"/>
  <c r="N7" i="8" s="1"/>
  <c r="L19" i="14"/>
  <c r="M7" i="8" s="1"/>
  <c r="K19" i="13"/>
  <c r="L6" i="8" s="1"/>
  <c r="N19" i="12" l="1"/>
  <c r="O19" i="12" s="1"/>
  <c r="O20" i="12" s="1"/>
  <c r="O5" i="8" s="1"/>
  <c r="L20" i="12"/>
  <c r="L5" i="8" s="1"/>
  <c r="L19" i="8" s="1"/>
  <c r="U19" i="14"/>
  <c r="X18" i="16"/>
  <c r="X19" i="16" s="1"/>
  <c r="M19" i="13"/>
  <c r="N6" i="8" s="1"/>
  <c r="L19" i="13"/>
  <c r="M6" i="8" s="1"/>
  <c r="M20" i="12"/>
  <c r="N19" i="13" l="1"/>
  <c r="O6" i="8" s="1"/>
  <c r="O19" i="8" s="1"/>
  <c r="W19" i="12"/>
  <c r="M5" i="8"/>
  <c r="M19" i="8" s="1"/>
  <c r="N20" i="12"/>
  <c r="N5" i="8" s="1"/>
  <c r="N19" i="8" s="1"/>
  <c r="Y18" i="16"/>
  <c r="V19" i="16"/>
  <c r="W7" i="8"/>
  <c r="W8" i="8" l="1"/>
  <c r="Y20" i="16"/>
  <c r="E25" i="8"/>
  <c r="W20" i="12"/>
  <c r="W21" i="12" s="1"/>
  <c r="U19" i="13"/>
  <c r="W6" i="8" s="1"/>
  <c r="H19" i="8"/>
  <c r="W5" i="8" l="1"/>
  <c r="W1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6" authorId="0" shapeId="0" xr:uid="{D28D4C78-F417-4624-83F5-3C4DE9F73EE1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Auszahlung Ferienguthaben</t>
        </r>
      </text>
    </comment>
  </commentList>
</comments>
</file>

<file path=xl/sharedStrings.xml><?xml version="1.0" encoding="utf-8"?>
<sst xmlns="http://schemas.openxmlformats.org/spreadsheetml/2006/main" count="332" uniqueCount="128">
  <si>
    <t>Kalenderjahr beginnt am:</t>
  </si>
  <si>
    <t>Kto. 6270</t>
  </si>
  <si>
    <t>Rentner-</t>
  </si>
  <si>
    <t>Beitrags-</t>
  </si>
  <si>
    <t>AHV-</t>
  </si>
  <si>
    <t>Kto. 5700</t>
  </si>
  <si>
    <t>Kto. 5710</t>
  </si>
  <si>
    <t>Kto. 5720</t>
  </si>
  <si>
    <t>Kto.  5730</t>
  </si>
  <si>
    <t>Kto. 5740</t>
  </si>
  <si>
    <t>Kto. 5790</t>
  </si>
  <si>
    <t>Kto. 58xx</t>
  </si>
  <si>
    <t>Kto. 1091</t>
  </si>
  <si>
    <t>Geburts-</t>
  </si>
  <si>
    <t>Lohn</t>
  </si>
  <si>
    <t>Privatanteil</t>
  </si>
  <si>
    <t>Bruttolohn</t>
  </si>
  <si>
    <t>Freibetrag</t>
  </si>
  <si>
    <t>Grenze</t>
  </si>
  <si>
    <t>pflichtiger</t>
  </si>
  <si>
    <t>AHV/IV/EO</t>
  </si>
  <si>
    <r>
      <t xml:space="preserve">Lohn </t>
    </r>
    <r>
      <rPr>
        <b/>
        <sz val="10"/>
        <color rgb="FFFFFF00"/>
        <rFont val="Calibri"/>
        <family val="2"/>
        <scheme val="minor"/>
      </rPr>
      <t>&lt;/=</t>
    </r>
  </si>
  <si>
    <t>ALV 1</t>
  </si>
  <si>
    <r>
      <t xml:space="preserve">Lohn </t>
    </r>
    <r>
      <rPr>
        <b/>
        <sz val="10"/>
        <color rgb="FFFFFF00"/>
        <rFont val="Calibri"/>
        <family val="2"/>
        <scheme val="minor"/>
      </rPr>
      <t>&gt;</t>
    </r>
  </si>
  <si>
    <t>ALV 2</t>
  </si>
  <si>
    <t>Familien-</t>
  </si>
  <si>
    <t>BV</t>
  </si>
  <si>
    <t>NBUV</t>
  </si>
  <si>
    <t>KTG</t>
  </si>
  <si>
    <t>QST</t>
  </si>
  <si>
    <t>Pauschal-</t>
  </si>
  <si>
    <t>Nettolohn</t>
  </si>
  <si>
    <t xml:space="preserve">AHV-Nr. </t>
  </si>
  <si>
    <t>Nachname, Vorname</t>
  </si>
  <si>
    <t>Daten</t>
  </si>
  <si>
    <t>Ges.</t>
  </si>
  <si>
    <t>Fahrzeug</t>
  </si>
  <si>
    <t>Zulagen</t>
  </si>
  <si>
    <t>Spesen</t>
  </si>
  <si>
    <t>Auszahlung</t>
  </si>
  <si>
    <t>Summen:</t>
  </si>
  <si>
    <t>Alters-Durchschnitt:</t>
  </si>
  <si>
    <t>w/m</t>
  </si>
  <si>
    <t>w</t>
  </si>
  <si>
    <t>m</t>
  </si>
  <si>
    <t>Naturalleist.</t>
  </si>
  <si>
    <t>Monat</t>
  </si>
  <si>
    <t>Lohn &lt;/=</t>
  </si>
  <si>
    <t>Lohn &gt;</t>
  </si>
  <si>
    <t>&lt;8h/W.</t>
  </si>
  <si>
    <t>nein</t>
  </si>
  <si>
    <t>-</t>
  </si>
  <si>
    <t>AHV-Nummer</t>
  </si>
  <si>
    <t>Geburtsdatum</t>
  </si>
  <si>
    <t>Geschelcht</t>
  </si>
  <si>
    <t>Strasse Nr.</t>
  </si>
  <si>
    <t>PLZ Ort</t>
  </si>
  <si>
    <t>Eintritt</t>
  </si>
  <si>
    <t>Austritt</t>
  </si>
  <si>
    <t>?</t>
  </si>
  <si>
    <t>FamZ</t>
  </si>
  <si>
    <t>Berufliche</t>
  </si>
  <si>
    <t>Vorsorge</t>
  </si>
  <si>
    <t>Quellen-</t>
  </si>
  <si>
    <t>Steuer</t>
  </si>
  <si>
    <t>ja</t>
  </si>
  <si>
    <t>Differenz</t>
  </si>
  <si>
    <t>kumuliert</t>
  </si>
  <si>
    <t>SOLL</t>
  </si>
  <si>
    <t>IST</t>
  </si>
  <si>
    <t>Periode</t>
  </si>
  <si>
    <t>regelmässig</t>
  </si>
  <si>
    <t>unregelmässig</t>
  </si>
  <si>
    <t>unregelm.</t>
  </si>
  <si>
    <t>UVGZ</t>
  </si>
  <si>
    <t>Beleg-Nr.</t>
  </si>
  <si>
    <t>CHF</t>
  </si>
  <si>
    <t>Übertrag AN-Anteil</t>
  </si>
  <si>
    <t>ALV/IV/EO/ALV</t>
  </si>
  <si>
    <t>FAK FamZ</t>
  </si>
  <si>
    <t>Bruttolöhne</t>
  </si>
  <si>
    <t>5999/5700</t>
  </si>
  <si>
    <t>5710/5999</t>
  </si>
  <si>
    <t>5999/5720</t>
  </si>
  <si>
    <t>5999/5730</t>
  </si>
  <si>
    <t>5999/5740</t>
  </si>
  <si>
    <t>5999/5790</t>
  </si>
  <si>
    <t>Privatanteil direkt auf 5000 gebucht</t>
  </si>
  <si>
    <t>Lohnausweis</t>
  </si>
  <si>
    <t>Ziff. 1</t>
  </si>
  <si>
    <t>Ziff. 3</t>
  </si>
  <si>
    <t>Ziff. 2.2</t>
  </si>
  <si>
    <t>Ziff. 8</t>
  </si>
  <si>
    <t>Bonus/Gratifikation:</t>
  </si>
  <si>
    <t>Buchhaltung</t>
  </si>
  <si>
    <t>Kto. 5730</t>
  </si>
  <si>
    <t>UVG-Z</t>
  </si>
  <si>
    <t>NBUV und UV-Zusatz</t>
  </si>
  <si>
    <t>5000/5999</t>
  </si>
  <si>
    <t>Übertrag</t>
  </si>
  <si>
    <t>Total</t>
  </si>
  <si>
    <t>NBU, KTG</t>
  </si>
  <si>
    <t>BU, KTG:</t>
  </si>
  <si>
    <t>Ziff. 9 +</t>
  </si>
  <si>
    <t>13. usw.</t>
  </si>
  <si>
    <t>Grati usw.</t>
  </si>
  <si>
    <t>Stunden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</si>
  <si>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</si>
  <si>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</si>
  <si>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</si>
  <si>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</si>
  <si>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</si>
  <si>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</si>
  <si>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</si>
  <si>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</si>
  <si>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</si>
  <si>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</si>
  <si>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</si>
  <si>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</si>
  <si>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TT</t>
  </si>
  <si>
    <t>DD</t>
  </si>
  <si>
    <t>GG</t>
  </si>
  <si>
    <t>756.GG</t>
  </si>
  <si>
    <t>756.TT</t>
  </si>
  <si>
    <t>756.DD</t>
  </si>
  <si>
    <t>BB</t>
  </si>
  <si>
    <t>756.BB</t>
  </si>
  <si>
    <t>13. usw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</si>
</sst>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5" formatCode="000\.0000\.0000\.00"/>
    <numFmt numFmtId="166" formatCode="0.00000%"/>
    <numFmt numFmtId="167" formatCode="yyyy"/>
    <numFmt numFmtId="168" formatCode="mmmm"/>
    <numFmt numFmtId="169" formatCode="&quot;KTGw&quot;\ 0.000%"/>
    <numFmt numFmtId="170" formatCode="&quot;KTGm&quot;\ 0.000%"/>
    <numFmt numFmtId="171" formatCode="#,##0.00_ ;\-#,##0.00\ "/>
  </numFmts>
  <fonts count="27" x14ac:knownFonts="1"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0.5"/>
      <color theme="2" tint="-0.499984740745262"/>
      <name val="Corbel"/>
      <family val="2"/>
      <scheme val="major"/>
    </font>
    <font>
      <b/>
      <sz val="11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2F2F2F"/>
      <name val="Segoe UI"/>
      <family val="2"/>
    </font>
    <font>
      <sz val="10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66FFFF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theme="5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59EE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DE0E2"/>
        <bgColor indexed="64"/>
      </patternFill>
    </fill>
    <fill>
      <patternFill patternType="solid">
        <fgColor theme="2" tint="-0.249977111117893"/>
        <bgColor theme="5"/>
      </patternFill>
    </fill>
    <fill>
      <patternFill patternType="solid">
        <fgColor theme="3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9" fillId="3" borderId="0" xfId="0" applyNumberFormat="1" applyFont="1" applyFill="1" applyAlignment="1">
      <alignment vertical="center"/>
    </xf>
    <xf numFmtId="14" fontId="8" fillId="4" borderId="0" xfId="0" applyNumberFormat="1" applyFont="1" applyFill="1" applyAlignment="1">
      <alignment horizontal="left" vertical="center" wrapText="1"/>
    </xf>
    <xf numFmtId="14" fontId="9" fillId="0" borderId="0" xfId="0" applyNumberFormat="1" applyFont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14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14" fontId="12" fillId="4" borderId="0" xfId="0" applyNumberFormat="1" applyFont="1" applyFill="1" applyAlignment="1">
      <alignment horizontal="left" vertical="center" wrapText="1"/>
    </xf>
    <xf numFmtId="4" fontId="9" fillId="0" borderId="2" xfId="0" applyNumberFormat="1" applyFont="1" applyBorder="1" applyAlignment="1">
      <alignment vertical="center"/>
    </xf>
    <xf numFmtId="0" fontId="8" fillId="4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/>
    </xf>
    <xf numFmtId="14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vertical="center"/>
    </xf>
    <xf numFmtId="167" fontId="13" fillId="5" borderId="3" xfId="0" applyNumberFormat="1" applyFont="1" applyFill="1" applyBorder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4" fontId="12" fillId="4" borderId="2" xfId="0" applyNumberFormat="1" applyFont="1" applyFill="1" applyBorder="1" applyAlignment="1">
      <alignment horizontal="left" vertical="center" wrapText="1"/>
    </xf>
    <xf numFmtId="14" fontId="8" fillId="4" borderId="2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vertical="center"/>
    </xf>
    <xf numFmtId="0" fontId="3" fillId="5" borderId="0" xfId="0" applyFont="1" applyFill="1" applyAlignment="1">
      <alignment vertical="center"/>
    </xf>
    <xf numFmtId="14" fontId="19" fillId="0" borderId="0" xfId="0" applyNumberFormat="1" applyFont="1"/>
    <xf numFmtId="167" fontId="9" fillId="0" borderId="0" xfId="0" applyNumberFormat="1" applyFont="1" applyAlignment="1">
      <alignment horizontal="left" vertical="center"/>
    </xf>
    <xf numFmtId="44" fontId="9" fillId="0" borderId="0" xfId="7" applyFont="1" applyAlignment="1">
      <alignment horizontal="left" vertical="center"/>
    </xf>
    <xf numFmtId="44" fontId="9" fillId="0" borderId="0" xfId="0" applyNumberFormat="1" applyFont="1" applyAlignment="1">
      <alignment horizontal="left" vertical="center"/>
    </xf>
    <xf numFmtId="168" fontId="16" fillId="0" borderId="2" xfId="0" applyNumberFormat="1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4" fontId="15" fillId="0" borderId="2" xfId="0" applyNumberFormat="1" applyFont="1" applyBorder="1" applyAlignment="1">
      <alignment vertical="center"/>
    </xf>
    <xf numFmtId="168" fontId="16" fillId="2" borderId="2" xfId="0" quotePrefix="1" applyNumberFormat="1" applyFont="1" applyFill="1" applyBorder="1" applyAlignment="1">
      <alignment horizontal="left" vertical="center"/>
    </xf>
    <xf numFmtId="168" fontId="16" fillId="2" borderId="2" xfId="0" applyNumberFormat="1" applyFont="1" applyFill="1" applyBorder="1" applyAlignment="1">
      <alignment horizontal="left" vertical="center"/>
    </xf>
    <xf numFmtId="4" fontId="16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9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4" fontId="15" fillId="2" borderId="0" xfId="0" applyNumberFormat="1" applyFont="1" applyFill="1" applyAlignment="1">
      <alignment vertical="center"/>
    </xf>
    <xf numFmtId="167" fontId="13" fillId="4" borderId="0" xfId="0" applyNumberFormat="1" applyFont="1" applyFill="1" applyAlignment="1">
      <alignment horizontal="left" vertical="center" wrapText="1"/>
    </xf>
    <xf numFmtId="14" fontId="8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65" fontId="15" fillId="2" borderId="0" xfId="0" applyNumberFormat="1" applyFont="1" applyFill="1" applyAlignment="1">
      <alignment horizontal="left" vertical="center"/>
    </xf>
    <xf numFmtId="14" fontId="15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4" fontId="8" fillId="5" borderId="6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8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horizontal="right" vertical="center" wrapText="1"/>
    </xf>
    <xf numFmtId="0" fontId="11" fillId="5" borderId="0" xfId="0" applyFont="1" applyFill="1" applyAlignment="1">
      <alignment horizontal="right" vertical="center"/>
    </xf>
    <xf numFmtId="0" fontId="14" fillId="4" borderId="2" xfId="0" applyFont="1" applyFill="1" applyBorder="1" applyAlignment="1">
      <alignment horizontal="right" vertical="center" wrapText="1"/>
    </xf>
    <xf numFmtId="0" fontId="14" fillId="4" borderId="0" xfId="0" applyFont="1" applyFill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/>
    </xf>
    <xf numFmtId="169" fontId="8" fillId="4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166" fontId="8" fillId="4" borderId="2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70" fontId="8" fillId="4" borderId="2" xfId="0" applyNumberFormat="1" applyFont="1" applyFill="1" applyBorder="1" applyAlignment="1">
      <alignment horizontal="right" vertical="center" wrapText="1"/>
    </xf>
    <xf numFmtId="166" fontId="8" fillId="4" borderId="4" xfId="0" applyNumberFormat="1" applyFont="1" applyFill="1" applyBorder="1" applyAlignment="1">
      <alignment horizontal="right" vertical="center" wrapText="1"/>
    </xf>
    <xf numFmtId="169" fontId="12" fillId="4" borderId="2" xfId="0" applyNumberFormat="1" applyFont="1" applyFill="1" applyBorder="1" applyAlignment="1">
      <alignment horizontal="right" vertical="center" wrapText="1"/>
    </xf>
    <xf numFmtId="4" fontId="12" fillId="4" borderId="0" xfId="0" applyNumberFormat="1" applyFont="1" applyFill="1" applyAlignment="1">
      <alignment horizontal="right" vertical="center" wrapText="1"/>
    </xf>
    <xf numFmtId="166" fontId="12" fillId="4" borderId="2" xfId="0" applyNumberFormat="1" applyFont="1" applyFill="1" applyBorder="1" applyAlignment="1">
      <alignment horizontal="right" vertical="center" wrapText="1"/>
    </xf>
    <xf numFmtId="166" fontId="12" fillId="4" borderId="0" xfId="0" applyNumberFormat="1" applyFont="1" applyFill="1" applyAlignment="1">
      <alignment horizontal="right" vertical="center" wrapText="1"/>
    </xf>
    <xf numFmtId="170" fontId="12" fillId="4" borderId="2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4" fontId="9" fillId="0" borderId="9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vertical="center"/>
    </xf>
    <xf numFmtId="167" fontId="13" fillId="4" borderId="11" xfId="0" applyNumberFormat="1" applyFont="1" applyFill="1" applyBorder="1" applyAlignment="1">
      <alignment horizontal="left" vertical="center" wrapText="1"/>
    </xf>
    <xf numFmtId="14" fontId="12" fillId="4" borderId="11" xfId="0" applyNumberFormat="1" applyFont="1" applyFill="1" applyBorder="1" applyAlignment="1">
      <alignment horizontal="left" vertical="center" wrapText="1"/>
    </xf>
    <xf numFmtId="4" fontId="8" fillId="4" borderId="12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right" vertical="center" wrapText="1"/>
    </xf>
    <xf numFmtId="0" fontId="11" fillId="5" borderId="12" xfId="0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right" vertical="center" wrapText="1"/>
    </xf>
    <xf numFmtId="0" fontId="14" fillId="4" borderId="12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4" fontId="14" fillId="4" borderId="11" xfId="0" applyNumberFormat="1" applyFont="1" applyFill="1" applyBorder="1" applyAlignment="1">
      <alignment vertical="center" wrapText="1"/>
    </xf>
    <xf numFmtId="4" fontId="14" fillId="4" borderId="11" xfId="0" applyNumberFormat="1" applyFont="1" applyFill="1" applyBorder="1" applyAlignment="1">
      <alignment horizontal="right" vertical="center" wrapText="1"/>
    </xf>
    <xf numFmtId="4" fontId="14" fillId="4" borderId="3" xfId="0" applyNumberFormat="1" applyFont="1" applyFill="1" applyBorder="1" applyAlignment="1">
      <alignment horizontal="right" vertical="center" wrapText="1"/>
    </xf>
    <xf numFmtId="14" fontId="8" fillId="5" borderId="2" xfId="0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165" fontId="15" fillId="2" borderId="2" xfId="0" applyNumberFormat="1" applyFont="1" applyFill="1" applyBorder="1" applyAlignment="1">
      <alignment horizontal="left" vertical="center"/>
    </xf>
    <xf numFmtId="14" fontId="15" fillId="2" borderId="2" xfId="0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14" fontId="15" fillId="2" borderId="5" xfId="0" applyNumberFormat="1" applyFont="1" applyFill="1" applyBorder="1" applyAlignment="1">
      <alignment horizontal="left" vertical="center"/>
    </xf>
    <xf numFmtId="166" fontId="8" fillId="4" borderId="4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right" vertical="center"/>
    </xf>
    <xf numFmtId="4" fontId="9" fillId="7" borderId="6" xfId="0" applyNumberFormat="1" applyFont="1" applyFill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4" fontId="9" fillId="6" borderId="6" xfId="0" applyNumberFormat="1" applyFont="1" applyFill="1" applyBorder="1" applyAlignment="1">
      <alignment vertical="center"/>
    </xf>
    <xf numFmtId="4" fontId="8" fillId="6" borderId="6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4" fontId="9" fillId="8" borderId="6" xfId="0" applyNumberFormat="1" applyFont="1" applyFill="1" applyBorder="1" applyAlignment="1">
      <alignment vertical="center"/>
    </xf>
    <xf numFmtId="4" fontId="9" fillId="9" borderId="6" xfId="0" applyNumberFormat="1" applyFont="1" applyFill="1" applyBorder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4" fontId="9" fillId="10" borderId="6" xfId="0" applyNumberFormat="1" applyFont="1" applyFill="1" applyBorder="1" applyAlignment="1">
      <alignment vertical="center"/>
    </xf>
    <xf numFmtId="0" fontId="9" fillId="11" borderId="0" xfId="0" applyFont="1" applyFill="1" applyAlignment="1">
      <alignment vertical="center"/>
    </xf>
    <xf numFmtId="4" fontId="9" fillId="11" borderId="6" xfId="0" applyNumberFormat="1" applyFont="1" applyFill="1" applyBorder="1" applyAlignment="1">
      <alignment vertical="center"/>
    </xf>
    <xf numFmtId="4" fontId="9" fillId="12" borderId="6" xfId="0" applyNumberFormat="1" applyFont="1" applyFill="1" applyBorder="1" applyAlignment="1">
      <alignment vertical="center"/>
    </xf>
    <xf numFmtId="0" fontId="9" fillId="12" borderId="0" xfId="0" applyFont="1" applyFill="1" applyAlignment="1">
      <alignment vertical="center"/>
    </xf>
    <xf numFmtId="0" fontId="9" fillId="13" borderId="0" xfId="0" applyFont="1" applyFill="1" applyAlignment="1">
      <alignment vertical="center"/>
    </xf>
    <xf numFmtId="4" fontId="9" fillId="14" borderId="0" xfId="0" applyNumberFormat="1" applyFont="1" applyFill="1" applyAlignment="1">
      <alignment horizontal="right" vertical="center"/>
    </xf>
    <xf numFmtId="4" fontId="9" fillId="14" borderId="4" xfId="0" applyNumberFormat="1" applyFont="1" applyFill="1" applyBorder="1" applyAlignment="1">
      <alignment vertical="center"/>
    </xf>
    <xf numFmtId="4" fontId="9" fillId="14" borderId="0" xfId="0" applyNumberFormat="1" applyFont="1" applyFill="1" applyAlignment="1">
      <alignment vertical="center"/>
    </xf>
    <xf numFmtId="0" fontId="10" fillId="15" borderId="0" xfId="0" applyFont="1" applyFill="1" applyAlignment="1">
      <alignment horizontal="center" vertical="center"/>
    </xf>
    <xf numFmtId="14" fontId="10" fillId="15" borderId="0" xfId="0" applyNumberFormat="1" applyFont="1" applyFill="1" applyAlignment="1">
      <alignment horizontal="center" vertical="center"/>
    </xf>
    <xf numFmtId="4" fontId="10" fillId="15" borderId="0" xfId="0" applyNumberFormat="1" applyFont="1" applyFill="1" applyAlignment="1">
      <alignment horizontal="center" vertical="center"/>
    </xf>
    <xf numFmtId="4" fontId="17" fillId="15" borderId="0" xfId="0" applyNumberFormat="1" applyFont="1" applyFill="1" applyAlignment="1">
      <alignment horizontal="center" vertical="center"/>
    </xf>
    <xf numFmtId="0" fontId="21" fillId="15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4" fontId="8" fillId="16" borderId="0" xfId="0" applyNumberFormat="1" applyFont="1" applyFill="1" applyAlignment="1">
      <alignment horizontal="right" vertical="center" wrapText="1"/>
    </xf>
    <xf numFmtId="0" fontId="8" fillId="7" borderId="0" xfId="0" applyFont="1" applyFill="1" applyAlignment="1">
      <alignment horizontal="right" vertical="center"/>
    </xf>
    <xf numFmtId="4" fontId="8" fillId="7" borderId="6" xfId="0" applyNumberFormat="1" applyFont="1" applyFill="1" applyBorder="1" applyAlignment="1">
      <alignment vertical="center"/>
    </xf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0" xfId="0" applyNumberFormat="1" applyFont="1" applyFill="1" applyAlignment="1">
      <alignment horizontal="right" vertical="center" wrapText="1"/>
    </xf>
    <xf numFmtId="4" fontId="8" fillId="14" borderId="6" xfId="0" applyNumberFormat="1" applyFont="1" applyFill="1" applyBorder="1" applyAlignment="1">
      <alignment vertical="center"/>
    </xf>
    <xf numFmtId="4" fontId="9" fillId="14" borderId="6" xfId="0" applyNumberFormat="1" applyFont="1" applyFill="1" applyBorder="1" applyAlignment="1">
      <alignment vertical="center"/>
    </xf>
    <xf numFmtId="0" fontId="12" fillId="4" borderId="0" xfId="0" applyFont="1" applyFill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4" fontId="22" fillId="14" borderId="0" xfId="0" applyNumberFormat="1" applyFont="1" applyFill="1" applyAlignment="1">
      <alignment vertical="center"/>
    </xf>
    <xf numFmtId="0" fontId="23" fillId="17" borderId="0" xfId="0" applyFont="1" applyFill="1" applyAlignment="1">
      <alignment horizontal="right" vertical="center" wrapText="1"/>
    </xf>
    <xf numFmtId="4" fontId="9" fillId="5" borderId="6" xfId="0" applyNumberFormat="1" applyFont="1" applyFill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3" fontId="10" fillId="15" borderId="0" xfId="0" applyNumberFormat="1" applyFont="1" applyFill="1" applyAlignment="1">
      <alignment vertical="center"/>
    </xf>
    <xf numFmtId="4" fontId="15" fillId="18" borderId="0" xfId="0" applyNumberFormat="1" applyFont="1" applyFill="1" applyAlignment="1">
      <alignment vertical="center"/>
    </xf>
    <xf numFmtId="4" fontId="9" fillId="0" borderId="4" xfId="0" applyNumberFormat="1" applyFont="1" applyBorder="1" applyAlignment="1">
      <alignment vertical="center"/>
    </xf>
    <xf numFmtId="168" fontId="16" fillId="19" borderId="2" xfId="0" applyNumberFormat="1" applyFont="1" applyFill="1" applyBorder="1" applyAlignment="1">
      <alignment horizontal="left" vertical="center"/>
    </xf>
    <xf numFmtId="166" fontId="12" fillId="17" borderId="2" xfId="0" applyNumberFormat="1" applyFont="1" applyFill="1" applyBorder="1" applyAlignment="1">
      <alignment horizontal="right" vertical="center" wrapText="1"/>
    </xf>
    <xf numFmtId="171" fontId="9" fillId="0" borderId="0" xfId="7" applyNumberFormat="1" applyFont="1" applyAlignment="1">
      <alignment horizontal="right" vertical="center"/>
    </xf>
    <xf numFmtId="171" fontId="10" fillId="0" borderId="0" xfId="7" applyNumberFormat="1" applyFont="1" applyAlignment="1">
      <alignment horizontal="right" vertical="center"/>
    </xf>
    <xf numFmtId="4" fontId="20" fillId="2" borderId="0" xfId="0" applyNumberFormat="1" applyFont="1" applyFill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168" fontId="16" fillId="2" borderId="8" xfId="0" applyNumberFormat="1" applyFont="1" applyFill="1" applyBorder="1" applyAlignment="1">
      <alignment horizontal="left" vertical="center"/>
    </xf>
    <xf numFmtId="168" fontId="16" fillId="2" borderId="9" xfId="0" applyNumberFormat="1" applyFont="1" applyFill="1" applyBorder="1" applyAlignment="1">
      <alignment horizontal="left" vertical="center"/>
    </xf>
    <xf numFmtId="168" fontId="16" fillId="2" borderId="0" xfId="0" applyNumberFormat="1" applyFont="1" applyFill="1" applyBorder="1" applyAlignment="1">
      <alignment horizontal="left" vertical="center"/>
    </xf>
    <xf numFmtId="0" fontId="10" fillId="18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center" vertical="center"/>
    </xf>
    <xf numFmtId="14" fontId="10" fillId="12" borderId="0" xfId="0" applyNumberFormat="1" applyFont="1" applyFill="1" applyAlignment="1">
      <alignment horizontal="center" vertical="center"/>
    </xf>
    <xf numFmtId="4" fontId="10" fillId="12" borderId="0" xfId="0" applyNumberFormat="1" applyFont="1" applyFill="1" applyAlignment="1">
      <alignment horizontal="center" vertical="center"/>
    </xf>
    <xf numFmtId="4" fontId="17" fillId="12" borderId="0" xfId="0" applyNumberFormat="1" applyFont="1" applyFill="1" applyAlignment="1">
      <alignment horizontal="center" vertical="center"/>
    </xf>
    <xf numFmtId="0" fontId="21" fillId="12" borderId="0" xfId="0" applyFont="1" applyFill="1" applyAlignment="1">
      <alignment horizontal="center"/>
    </xf>
    <xf numFmtId="3" fontId="10" fillId="12" borderId="0" xfId="0" applyNumberFormat="1" applyFont="1" applyFill="1" applyAlignment="1">
      <alignment vertical="center"/>
    </xf>
  </cellXfs>
  <cellStyles count="8">
    <cellStyle name="Ergebnis" xfId="4" builtinId="25" customBuiltin="1"/>
    <cellStyle name="Standard" xfId="0" builtinId="0" customBuiltin="1"/>
    <cellStyle name="Überschrift" xfId="5" builtinId="15" customBuiltin="1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6" builtinId="19" customBuiltin="1"/>
    <cellStyle name="Währung" xfId="7" builtinId="4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mmmm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border outline="0">
        <right style="thin">
          <color theme="2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color theme="0"/>
      </font>
      <fill>
        <patternFill>
          <bgColor theme="2" tint="-0.499984740745262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theme="4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499984740745262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Home Inventory Table" defaultPivotStyle="PivotStyleLight16">
    <tableStyle name="Home Inventory Slicer" pivot="0" table="0" count="10" xr9:uid="{00000000-0011-0000-FFFF-FFFF00000000}">
      <tableStyleElement type="wholeTable" dxfId="51"/>
      <tableStyleElement type="headerRow" dxfId="50"/>
    </tableStyle>
    <tableStyle name="Home Inventory Table" pivot="0" count="7" xr9:uid="{00000000-0011-0000-FFFF-FFFF01000000}">
      <tableStyleElement type="wholeTable" dxfId="49"/>
      <tableStyleElement type="headerRow" dxfId="48"/>
      <tableStyleElement type="totalRow" dxfId="47"/>
      <tableStyleElement type="lastColumn" dxfId="46"/>
      <tableStyleElement type="firstRowStripe" dxfId="45"/>
      <tableStyleElement type="firstColumnStripe" dxfId="44"/>
      <tableStyleElement type="firstTotalCell" dxfId="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9EE2"/>
      <color rgb="FF99FF66"/>
      <color rgb="FFFDE0E2"/>
      <color rgb="FF66FFFF"/>
    </mruColors>
  </colors>
  <extLst>
    <ext xmlns:x14="http://schemas.microsoft.com/office/spreadsheetml/2009/9/main" uri="{46F421CA-312F-682f-3DD2-61675219B42D}">
      <x14:dxfs count="8">
        <dxf>
          <font>
            <color theme="1"/>
          </font>
          <fill>
            <patternFill patternType="solid">
              <fgColor auto="1"/>
              <bgColor theme="0" tint="-0.34998626667073579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0" tint="-0.2499465926084170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theme="1"/>
          </font>
          <fill>
            <patternFill patternType="none">
              <fgColor auto="1"/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Inventory Slicer">
        <x14:slicerStyle name="Home Inventory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DA88DD-7656-48F1-AD44-B7FB2BA96CBD}" name="Tabelle2" displayName="Tabelle2" ref="B4:V15" headerRowCount="0" totalsRowShown="0" headerRowDxfId="42" tableBorderDxfId="41">
  <tableColumns count="21">
    <tableColumn id="1" xr3:uid="{01BE77FD-0077-4142-BD6F-D34014DD73F8}" name="Spalte1" headerRowDxfId="40" dataDxfId="39">
      <calculatedColumnFormula>EDATE(B4,1)</calculatedColumnFormula>
    </tableColumn>
    <tableColumn id="2" xr3:uid="{3DE91ED0-47B7-41FF-A627-4ECE87D24B7F}" name="Spalte2" headerRowDxfId="38" dataDxfId="0">
      <calculatedColumnFormula>3500</calculatedColumnFormula>
    </tableColumn>
    <tableColumn id="3" xr3:uid="{10661A20-85CF-4C98-BA8F-4701BEB75611}" name="Spalte3" headerRowDxfId="37" dataDxfId="36"/>
    <tableColumn id="4" xr3:uid="{28666A49-AC81-45FD-AE43-2D218222F371}" name="Spalte4" headerRowDxfId="35" dataDxfId="34"/>
    <tableColumn id="5" xr3:uid="{7E924DD6-B4BD-4D48-A531-49AAFF3DAF59}" name="Spalte5" headerRowDxfId="33" dataDxfId="32"/>
    <tableColumn id="6" xr3:uid="{FB8DB0BA-CB95-4993-BEE7-70551BD2115C}" name="Spalte6" headerRowDxfId="31" dataDxfId="30">
      <calculatedColumnFormula>C4+D4+E4+F4</calculatedColumnFormula>
    </tableColumn>
    <tableColumn id="7" xr3:uid="{AFF1352F-A598-4F20-B9A8-FB0A313C79CB}" name="Spalte7" headerRowDxfId="29" dataDxfId="28">
      <calculatedColumnFormula>IF(OR(AND($A$9="w",$A$7+(64*365)&lt;B4),($A$7+(65*365)&lt;B4)),$H$3/12,0)</calculatedColumnFormula>
    </tableColumn>
    <tableColumn id="8" xr3:uid="{D20A6C69-A426-4C5D-9091-AC4B6CA725F3}" name="Spalte8" headerRowDxfId="27" dataDxfId="26">
      <calculatedColumnFormula>IF($G$19&lt;$I$3+0.004,G4,0)</calculatedColumnFormula>
    </tableColumn>
    <tableColumn id="9" xr3:uid="{71F5E7DF-1DED-4345-9FDD-3A5E8CAA13D0}" name="Spalte9" headerRowDxfId="25" dataDxfId="24">
      <calculatedColumnFormula>IF($A$7+6205&gt;$A$1,0,(IF(I4&gt;0.004,(IF(G4-I4&gt;0,G4-I4,0)),(IF(G4-H4&gt;0,G4-H4,0)))))</calculatedColumnFormula>
    </tableColumn>
    <tableColumn id="10" xr3:uid="{71FCFD76-235F-48E9-80B1-C3549135EE90}" name="Spalte10" headerRowDxfId="23" dataDxfId="22">
      <calculatedColumnFormula>ROUND(2*J4*$K$3,1)/2</calculatedColumnFormula>
    </tableColumn>
    <tableColumn id="11" xr3:uid="{7B3AC5AA-69AA-49DE-B5B6-3467E356F46B}" name="Spalte11" headerRowDxfId="21" dataDxfId="20">
      <calculatedColumnFormula>IF(H4&lt;0.004,IF(J4&gt;$L$3/12,$L$3/12,J4),0)</calculatedColumnFormula>
    </tableColumn>
    <tableColumn id="12" xr3:uid="{4E3AB55A-FAC5-4E50-B4BC-93E815200F96}" name="Spalte12" headerRowDxfId="19" dataDxfId="18">
      <calculatedColumnFormula>ROUND(2*L4*$M$3,1)/2</calculatedColumnFormula>
    </tableColumn>
    <tableColumn id="13" xr3:uid="{A91CAED8-904B-40FE-A6F0-8BAB1BC135B2}" name="Spalte13" headerRowDxfId="17" dataDxfId="16">
      <calculatedColumnFormula>IF(H4&lt;0.004,J4-L4,0)</calculatedColumnFormula>
    </tableColumn>
    <tableColumn id="14" xr3:uid="{D76BCDB8-70CE-455D-B554-5C3ED24BCA3C}" name="Spalte14" headerRowDxfId="15" dataDxfId="14">
      <calculatedColumnFormula>N4*$O$3</calculatedColumnFormula>
    </tableColumn>
    <tableColumn id="15" xr3:uid="{605803A5-07AF-4D6F-83BC-AEAE41BFD55C}" name="Spalte15" headerRowDxfId="13" dataDxfId="12"/>
    <tableColumn id="16" xr3:uid="{4DF076BF-B138-4C84-B200-24228927A51F}" name="Spalte16" headerRowDxfId="11" dataDxfId="10"/>
    <tableColumn id="17" xr3:uid="{D1FB90DB-A0B4-4B93-A280-8C4F8413D684}" name="Spalte17" headerRowDxfId="9" dataDxfId="8">
      <calculatedColumnFormula>ROUND(((IF($A$15="ja",0,G4*$R$3))*2),1)/2</calculatedColumnFormula>
    </tableColumn>
    <tableColumn id="18" xr3:uid="{EF6E1B57-712C-4945-9C22-89FE6A7966D2}" name="Spalte18" headerRowDxfId="7" dataDxfId="6">
      <calculatedColumnFormula>ROUND((IF($A$9="w",(IF(H4&gt;0.004,0,(G4*$S$2))),(IF(H4&gt;0.004,0,(G4*$S$3)))))*2,1)/2</calculatedColumnFormula>
    </tableColumn>
    <tableColumn id="19" xr3:uid="{80261A81-1AB5-4797-AF32-EED4D7D551F5}" name="Spalte19" dataDxfId="5"/>
    <tableColumn id="20" xr3:uid="{A7C0014A-61B4-42F3-AD9F-DF9BA95AB360}" name="Spalte20" headerRowDxfId="4" dataDxfId="3"/>
    <tableColumn id="21" xr3:uid="{50007EF1-219F-4DDD-AF8C-F2EFBE86801A}" name="Spalte21" headerRowDxfId="2" dataDxfId="1">
      <calculatedColumnFormula>C4+D4+E4-K4-M4-O4+P4-Q4-R4-S4-T4+U4</calculatedColumnFormula>
    </tableColumn>
  </tableColumns>
  <tableStyleInfo name="TableStyleMedium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Home Inventory">
      <a:dk1>
        <a:sysClr val="windowText" lastClr="000000"/>
      </a:dk1>
      <a:lt1>
        <a:sysClr val="window" lastClr="FFFFFF"/>
      </a:lt1>
      <a:dk2>
        <a:srgbClr val="4F998E"/>
      </a:dk2>
      <a:lt2>
        <a:srgbClr val="CCEBE8"/>
      </a:lt2>
      <a:accent1>
        <a:srgbClr val="CC3104"/>
      </a:accent1>
      <a:accent2>
        <a:srgbClr val="FF931E"/>
      </a:accent2>
      <a:accent3>
        <a:srgbClr val="E59881"/>
      </a:accent3>
      <a:accent4>
        <a:srgbClr val="A49B8D"/>
      </a:accent4>
      <a:accent5>
        <a:srgbClr val="A8AD6C"/>
      </a:accent5>
      <a:accent6>
        <a:srgbClr val="CC3104"/>
      </a:accent6>
      <a:hlink>
        <a:srgbClr val="FF931E"/>
      </a:hlink>
      <a:folHlink>
        <a:srgbClr val="FFC000"/>
      </a:folHlink>
    </a:clrScheme>
    <a:fontScheme name="Home Inventory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34F8-6B3E-44CB-8082-EFF2F907C9AD}">
  <sheetPr>
    <tabColor theme="2" tint="-0.249977111117893"/>
    <pageSetUpPr fitToPage="1"/>
  </sheetPr>
  <dimension ref="A1:W31"/>
  <sheetViews>
    <sheetView topLeftCell="C1" workbookViewId="0">
      <pane ySplit="3" topLeftCell="A4" activePane="bottomLeft" state="frozen"/>
      <selection pane="bottomLeft" activeCell="W5" sqref="W5"/>
    </sheetView>
  </sheetViews>
  <sheetFormatPr baseColWidth="10" defaultColWidth="12" defaultRowHeight="20.100000000000001" customHeight="1" x14ac:dyDescent="0.2"/>
  <cols>
    <col min="1" max="1" width="18.33203125" style="2" customWidth="1"/>
    <col min="2" max="2" width="24.6640625" style="3" bestFit="1" customWidth="1"/>
    <col min="3" max="3" width="11.5" style="12" bestFit="1" customWidth="1"/>
    <col min="4" max="4" width="5" style="6" bestFit="1" customWidth="1"/>
    <col min="5" max="5" width="12" style="9"/>
    <col min="6" max="8" width="12" style="3"/>
    <col min="9" max="9" width="9.5" style="3" bestFit="1" customWidth="1"/>
    <col min="10" max="10" width="12" style="3"/>
    <col min="11" max="12" width="11.5" style="3" bestFit="1" customWidth="1"/>
    <col min="13" max="13" width="10.1640625" style="3" bestFit="1" customWidth="1"/>
    <col min="14" max="14" width="11.5" style="3" bestFit="1" customWidth="1"/>
    <col min="15" max="15" width="14.1640625" style="3" bestFit="1" customWidth="1"/>
    <col min="16" max="19" width="12" style="3"/>
    <col min="20" max="20" width="13.5" style="3" bestFit="1" customWidth="1"/>
    <col min="22" max="16384" width="12" style="3"/>
  </cols>
  <sheetData>
    <row r="1" spans="1:23" s="1" customFormat="1" ht="20.100000000000001" customHeight="1" x14ac:dyDescent="0.2">
      <c r="A1" s="26">
        <f>B2</f>
        <v>44927</v>
      </c>
      <c r="B1" s="14" t="s">
        <v>0</v>
      </c>
      <c r="C1" s="31"/>
      <c r="D1" s="17"/>
      <c r="E1" s="58"/>
      <c r="F1" s="136" t="s">
        <v>1</v>
      </c>
      <c r="G1" s="60"/>
      <c r="H1" s="59" t="s">
        <v>2</v>
      </c>
      <c r="I1" s="59" t="s">
        <v>3</v>
      </c>
      <c r="J1" s="139" t="s">
        <v>4</v>
      </c>
      <c r="K1" s="137" t="s">
        <v>5</v>
      </c>
      <c r="L1" s="62"/>
      <c r="M1" s="136" t="s">
        <v>5</v>
      </c>
      <c r="N1" s="62"/>
      <c r="O1" s="62" t="s">
        <v>5</v>
      </c>
      <c r="P1" s="61" t="s">
        <v>6</v>
      </c>
      <c r="Q1" s="61" t="s">
        <v>7</v>
      </c>
      <c r="R1" s="61" t="s">
        <v>8</v>
      </c>
      <c r="S1" s="61" t="s">
        <v>95</v>
      </c>
      <c r="T1" s="61" t="s">
        <v>9</v>
      </c>
      <c r="U1" s="61" t="s">
        <v>10</v>
      </c>
      <c r="V1" s="61" t="s">
        <v>11</v>
      </c>
      <c r="W1" s="137" t="s">
        <v>12</v>
      </c>
    </row>
    <row r="2" spans="1:23" s="7" customFormat="1" ht="20.100000000000001" customHeight="1" x14ac:dyDescent="0.2">
      <c r="A2" s="18"/>
      <c r="B2" s="19">
        <v>44927</v>
      </c>
      <c r="C2" s="11" t="s">
        <v>13</v>
      </c>
      <c r="D2" s="13"/>
      <c r="E2" s="58"/>
      <c r="F2" s="59" t="s">
        <v>15</v>
      </c>
      <c r="G2" s="59"/>
      <c r="H2" s="59" t="s">
        <v>17</v>
      </c>
      <c r="I2" s="59" t="s">
        <v>18</v>
      </c>
      <c r="J2" s="139" t="s">
        <v>19</v>
      </c>
      <c r="K2" s="63" t="s">
        <v>20</v>
      </c>
      <c r="L2" s="59" t="s">
        <v>21</v>
      </c>
      <c r="M2" s="59" t="s">
        <v>22</v>
      </c>
      <c r="N2" s="59" t="s">
        <v>23</v>
      </c>
      <c r="O2" s="59" t="s">
        <v>24</v>
      </c>
      <c r="P2" s="63" t="s">
        <v>25</v>
      </c>
      <c r="Q2" s="63" t="s">
        <v>61</v>
      </c>
      <c r="R2" s="63" t="s">
        <v>27</v>
      </c>
      <c r="S2" s="63" t="s">
        <v>96</v>
      </c>
      <c r="T2" s="71">
        <v>6.7999999999999996E-3</v>
      </c>
      <c r="U2" s="63" t="s">
        <v>63</v>
      </c>
      <c r="V2" s="63" t="s">
        <v>30</v>
      </c>
      <c r="W2" s="66" t="s">
        <v>31</v>
      </c>
    </row>
    <row r="3" spans="1:23" s="8" customFormat="1" ht="20.100000000000001" customHeight="1" x14ac:dyDescent="0.2">
      <c r="A3" s="14" t="s">
        <v>32</v>
      </c>
      <c r="B3" s="14" t="s">
        <v>33</v>
      </c>
      <c r="C3" s="11" t="s">
        <v>34</v>
      </c>
      <c r="D3" s="13" t="s">
        <v>35</v>
      </c>
      <c r="E3" s="58" t="s">
        <v>14</v>
      </c>
      <c r="F3" s="59" t="s">
        <v>36</v>
      </c>
      <c r="G3" s="59" t="s">
        <v>16</v>
      </c>
      <c r="H3" s="72">
        <f>1400*12</f>
        <v>16800</v>
      </c>
      <c r="I3" s="72">
        <v>2300</v>
      </c>
      <c r="J3" s="139" t="s">
        <v>14</v>
      </c>
      <c r="K3" s="146">
        <f>0.106/2</f>
        <v>5.2999999999999999E-2</v>
      </c>
      <c r="L3" s="72">
        <v>148200</v>
      </c>
      <c r="M3" s="74">
        <v>1.0999999999999999E-2</v>
      </c>
      <c r="N3" s="72">
        <v>148200</v>
      </c>
      <c r="O3" s="74">
        <v>0</v>
      </c>
      <c r="P3" s="67" t="s">
        <v>37</v>
      </c>
      <c r="Q3" s="67" t="s">
        <v>62</v>
      </c>
      <c r="R3" s="146">
        <v>1.13653E-2</v>
      </c>
      <c r="S3" s="73"/>
      <c r="T3" s="75">
        <v>5.45E-3</v>
      </c>
      <c r="U3" s="67" t="s">
        <v>64</v>
      </c>
      <c r="V3" s="67" t="s">
        <v>38</v>
      </c>
      <c r="W3" s="70" t="s">
        <v>39</v>
      </c>
    </row>
    <row r="4" spans="1:23" ht="20.100000000000001" customHeight="1" x14ac:dyDescent="0.2">
      <c r="A4" s="4"/>
      <c r="B4" s="5"/>
      <c r="C4" s="15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0.100000000000001" customHeight="1" x14ac:dyDescent="0.2">
      <c r="A5" s="2" t="str">
        <f>TT!A6</f>
        <v>756.TT</v>
      </c>
      <c r="B5" s="3" t="str">
        <f>TT!A4</f>
        <v>TT</v>
      </c>
      <c r="C5" s="12">
        <f>TT!A8</f>
        <v>24288</v>
      </c>
      <c r="D5" s="6" t="str">
        <f>TT!A10</f>
        <v>m</v>
      </c>
      <c r="E5" s="9">
        <f>TT!C20+TT!E20</f>
        <v>108000</v>
      </c>
      <c r="F5" s="9">
        <f>TT!F20</f>
        <v>9304.7999999999975</v>
      </c>
      <c r="G5" s="9">
        <f>TT!G20</f>
        <v>117304.79999999997</v>
      </c>
      <c r="H5" s="9">
        <f>TT!H20</f>
        <v>0</v>
      </c>
      <c r="I5" s="9">
        <f>TT!I20</f>
        <v>0</v>
      </c>
      <c r="J5" s="9">
        <f>TT!J20</f>
        <v>117304.79999999997</v>
      </c>
      <c r="K5" s="9">
        <f>TT!K20</f>
        <v>6217.2000000000016</v>
      </c>
      <c r="L5" s="9">
        <f>TT!L20</f>
        <v>117304.79999999997</v>
      </c>
      <c r="M5" s="9">
        <f>TT!M20</f>
        <v>1290.5999999999997</v>
      </c>
      <c r="N5" s="9">
        <f>TT!N20</f>
        <v>0</v>
      </c>
      <c r="O5" s="9">
        <f>TT!O20</f>
        <v>0</v>
      </c>
      <c r="P5" s="9">
        <f>TT!P20</f>
        <v>0</v>
      </c>
      <c r="Q5" s="9">
        <f>TT!Q20</f>
        <v>11255.400000000001</v>
      </c>
      <c r="R5" s="9">
        <f>TT!R20</f>
        <v>1333.1999999999998</v>
      </c>
      <c r="S5" s="122">
        <f>TT!S20</f>
        <v>6.5312E-3</v>
      </c>
      <c r="T5" s="9">
        <f>TT!T20</f>
        <v>639.59999999999991</v>
      </c>
      <c r="U5" s="9">
        <f>TT!U20</f>
        <v>0</v>
      </c>
      <c r="V5" s="9">
        <f>TT!V20</f>
        <v>9240</v>
      </c>
      <c r="W5" s="122">
        <f>TT!W20</f>
        <v>96504</v>
      </c>
    </row>
    <row r="6" spans="1:23" ht="20.100000000000001" customHeight="1" x14ac:dyDescent="0.2">
      <c r="A6" s="4" t="str">
        <f>GG!A5</f>
        <v>756.GG</v>
      </c>
      <c r="B6" s="5" t="str">
        <f>GG!A3</f>
        <v>GG</v>
      </c>
      <c r="C6" s="15">
        <f>GG!A7</f>
        <v>29221</v>
      </c>
      <c r="D6" s="16" t="str">
        <f>GG!A9</f>
        <v>m</v>
      </c>
      <c r="E6" s="10">
        <f>GG!C19+GG!D19</f>
        <v>55081</v>
      </c>
      <c r="F6" s="10">
        <f>GG!E19</f>
        <v>0</v>
      </c>
      <c r="G6" s="10">
        <f>GG!F19</f>
        <v>55080</v>
      </c>
      <c r="H6" s="10">
        <f>GG!G19</f>
        <v>0</v>
      </c>
      <c r="I6" s="10">
        <f>GG!H19</f>
        <v>0</v>
      </c>
      <c r="J6" s="10">
        <f>GG!I19</f>
        <v>55080</v>
      </c>
      <c r="K6" s="10">
        <f>GG!J19</f>
        <v>2919</v>
      </c>
      <c r="L6" s="10">
        <f>GG!K19</f>
        <v>55080</v>
      </c>
      <c r="M6" s="10">
        <f>GG!L19</f>
        <v>606</v>
      </c>
      <c r="N6" s="10">
        <f>GG!M19</f>
        <v>0</v>
      </c>
      <c r="O6" s="10">
        <f>GG!N19</f>
        <v>0</v>
      </c>
      <c r="P6" s="10">
        <f>GG!O19</f>
        <v>2520</v>
      </c>
      <c r="Q6" s="10">
        <f>GG!P19</f>
        <v>2187</v>
      </c>
      <c r="R6" s="10">
        <f>GG!Q19</f>
        <v>625.79999999999984</v>
      </c>
      <c r="S6" s="10"/>
      <c r="T6" s="10">
        <f>GG!R19</f>
        <v>300</v>
      </c>
      <c r="U6" s="10">
        <f>GG!S19</f>
        <v>0</v>
      </c>
      <c r="V6" s="10">
        <f>GG!T19</f>
        <v>0</v>
      </c>
      <c r="W6" s="122">
        <f>GG!U19</f>
        <v>50962.19999999999</v>
      </c>
    </row>
    <row r="7" spans="1:23" ht="20.100000000000001" customHeight="1" x14ac:dyDescent="0.2">
      <c r="A7" s="2" t="str">
        <f>BB!A5</f>
        <v>756.BB</v>
      </c>
      <c r="B7" s="3" t="str">
        <f>BB!A3</f>
        <v>BB</v>
      </c>
      <c r="C7" s="12">
        <f>BB!A7</f>
        <v>25933</v>
      </c>
      <c r="D7" s="6" t="str">
        <f>BB!A9</f>
        <v>w</v>
      </c>
      <c r="E7" s="9">
        <f>BB!C19+BB!D19</f>
        <v>555.3900000000001</v>
      </c>
      <c r="F7" s="9">
        <f>BB!E19</f>
        <v>0</v>
      </c>
      <c r="G7" s="9">
        <f>BB!F19</f>
        <v>1055.3900000000001</v>
      </c>
      <c r="H7" s="9">
        <f>BB!G19</f>
        <v>0</v>
      </c>
      <c r="I7" s="9">
        <f>BB!H19</f>
        <v>1055.3900000000001</v>
      </c>
      <c r="J7" s="9">
        <f>BB!I19</f>
        <v>0</v>
      </c>
      <c r="K7" s="9">
        <f>BB!J19</f>
        <v>0</v>
      </c>
      <c r="L7" s="9">
        <f>BB!K19</f>
        <v>0</v>
      </c>
      <c r="M7" s="9">
        <f>BB!L19</f>
        <v>0</v>
      </c>
      <c r="N7" s="9">
        <f>BB!M19</f>
        <v>0</v>
      </c>
      <c r="O7" s="9">
        <f>BB!N19</f>
        <v>0</v>
      </c>
      <c r="P7" s="9">
        <f>BB!O19</f>
        <v>0</v>
      </c>
      <c r="Q7" s="9">
        <f>BB!P19</f>
        <v>0</v>
      </c>
      <c r="R7" s="9">
        <f>BB!Q19</f>
        <v>0</v>
      </c>
      <c r="S7" s="9"/>
      <c r="T7" s="9">
        <f>BB!R19</f>
        <v>0</v>
      </c>
      <c r="U7" s="9">
        <f>BB!S19</f>
        <v>0</v>
      </c>
      <c r="V7" s="9">
        <f>BB!T19</f>
        <v>0</v>
      </c>
      <c r="W7" s="122">
        <f>BB!U19</f>
        <v>555.3900000000001</v>
      </c>
    </row>
    <row r="8" spans="1:23" ht="20.100000000000001" customHeight="1" x14ac:dyDescent="0.2">
      <c r="A8" s="4" t="str">
        <f>DD!A5</f>
        <v>756.DD</v>
      </c>
      <c r="B8" s="5" t="str">
        <f>DD!A3</f>
        <v>DD</v>
      </c>
      <c r="C8" s="15">
        <f>DD!A7</f>
        <v>35064</v>
      </c>
      <c r="D8" s="16" t="str">
        <f>DD!A9</f>
        <v>w</v>
      </c>
      <c r="E8" s="10">
        <f>DD!C19+DD!E19</f>
        <v>42000</v>
      </c>
      <c r="F8" s="10"/>
      <c r="G8" s="10">
        <f>DD!G19</f>
        <v>45500</v>
      </c>
      <c r="H8" s="10"/>
      <c r="I8" s="10"/>
      <c r="J8" s="10">
        <f>DD!J19</f>
        <v>45500</v>
      </c>
      <c r="K8" s="10">
        <f>DD!K19</f>
        <v>2411.5</v>
      </c>
      <c r="L8" s="10">
        <f>DD!L19</f>
        <v>45500</v>
      </c>
      <c r="M8" s="10">
        <f>DD!M19</f>
        <v>500.5</v>
      </c>
      <c r="N8" s="10">
        <f>DD!N19</f>
        <v>0</v>
      </c>
      <c r="O8" s="10">
        <f>DD!O19</f>
        <v>0</v>
      </c>
      <c r="P8" s="10">
        <f>DD!P19</f>
        <v>0</v>
      </c>
      <c r="Q8" s="10">
        <f>DD!Q19</f>
        <v>1402.1999999999998</v>
      </c>
      <c r="R8" s="10">
        <f>DD!R19</f>
        <v>517.35</v>
      </c>
      <c r="S8" s="10"/>
      <c r="T8" s="10">
        <f>DD!S19</f>
        <v>309.40000000000009</v>
      </c>
      <c r="U8" s="10">
        <f>DD!T19</f>
        <v>0</v>
      </c>
      <c r="V8" s="10">
        <f>DD!U19</f>
        <v>0</v>
      </c>
      <c r="W8" s="122">
        <f>DD!V19</f>
        <v>40359.049999999996</v>
      </c>
    </row>
    <row r="9" spans="1:23" ht="20.100000000000001" customHeight="1" x14ac:dyDescent="0.2"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20.100000000000001" customHeight="1" x14ac:dyDescent="0.2">
      <c r="A10" s="4"/>
      <c r="B10" s="5"/>
      <c r="C10" s="15"/>
      <c r="D10" s="1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20.100000000000001" customHeight="1" x14ac:dyDescent="0.2"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20.100000000000001" customHeight="1" x14ac:dyDescent="0.2">
      <c r="A12" s="4"/>
      <c r="B12" s="5"/>
      <c r="C12" s="15"/>
      <c r="D12" s="16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20.100000000000001" customHeight="1" x14ac:dyDescent="0.2"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20.100000000000001" customHeight="1" x14ac:dyDescent="0.2">
      <c r="A14" s="4"/>
      <c r="B14" s="5"/>
      <c r="C14" s="15"/>
      <c r="D14" s="1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0.100000000000001" customHeight="1" x14ac:dyDescent="0.2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20.100000000000001" customHeight="1" x14ac:dyDescent="0.2">
      <c r="A16" s="4"/>
      <c r="B16" s="5"/>
      <c r="C16" s="15"/>
      <c r="D16" s="1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0.100000000000001" customHeight="1" x14ac:dyDescent="0.2"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20.100000000000001" customHeight="1" x14ac:dyDescent="0.2">
      <c r="A18" s="4"/>
      <c r="B18" s="5"/>
      <c r="C18" s="15"/>
      <c r="D18" s="1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20.100000000000001" customHeight="1" x14ac:dyDescent="0.2">
      <c r="A19" s="21" t="s">
        <v>40</v>
      </c>
      <c r="B19" s="22" t="s">
        <v>41</v>
      </c>
      <c r="C19" s="23"/>
      <c r="D19" s="24" t="s">
        <v>42</v>
      </c>
      <c r="E19" s="25">
        <f t="shared" ref="E19:W19" si="0">SUM(E4:E18)</f>
        <v>205636.39</v>
      </c>
      <c r="F19" s="25">
        <f t="shared" si="0"/>
        <v>9304.7999999999975</v>
      </c>
      <c r="G19" s="103">
        <f t="shared" si="0"/>
        <v>218940.19</v>
      </c>
      <c r="H19" s="25">
        <f t="shared" si="0"/>
        <v>0</v>
      </c>
      <c r="I19" s="25">
        <f t="shared" si="0"/>
        <v>1055.3900000000001</v>
      </c>
      <c r="J19" s="140">
        <f t="shared" si="0"/>
        <v>217884.79999999999</v>
      </c>
      <c r="K19" s="105">
        <f t="shared" si="0"/>
        <v>11547.7</v>
      </c>
      <c r="L19" s="103">
        <f t="shared" si="0"/>
        <v>217884.79999999999</v>
      </c>
      <c r="M19" s="105">
        <f t="shared" si="0"/>
        <v>2397.0999999999995</v>
      </c>
      <c r="N19" s="103">
        <f t="shared" si="0"/>
        <v>0</v>
      </c>
      <c r="O19" s="25">
        <f t="shared" si="0"/>
        <v>0</v>
      </c>
      <c r="P19" s="110">
        <f t="shared" si="0"/>
        <v>2520</v>
      </c>
      <c r="Q19" s="111">
        <f t="shared" si="0"/>
        <v>14844.600000000002</v>
      </c>
      <c r="R19" s="114">
        <f t="shared" si="0"/>
        <v>2476.3499999999995</v>
      </c>
      <c r="S19" s="135">
        <f>SUM(S4:S18)</f>
        <v>6.5312E-3</v>
      </c>
      <c r="T19" s="116">
        <f t="shared" si="0"/>
        <v>1249</v>
      </c>
      <c r="U19" s="117">
        <f t="shared" si="0"/>
        <v>0</v>
      </c>
      <c r="V19" s="25">
        <f t="shared" si="0"/>
        <v>9240</v>
      </c>
      <c r="W19" s="135">
        <f t="shared" si="0"/>
        <v>188380.63999999998</v>
      </c>
    </row>
    <row r="20" spans="1:23" ht="20.100000000000001" customHeight="1" x14ac:dyDescent="0.2">
      <c r="B20" s="3" t="s">
        <v>41</v>
      </c>
      <c r="D20" s="128" t="s">
        <v>43</v>
      </c>
      <c r="E20" s="78" t="s">
        <v>100</v>
      </c>
      <c r="F20" s="107" t="s">
        <v>102</v>
      </c>
      <c r="G20" s="9">
        <f>G7+G8</f>
        <v>46555.39</v>
      </c>
      <c r="H20" s="78" t="s">
        <v>100</v>
      </c>
      <c r="I20" s="107" t="s">
        <v>101</v>
      </c>
      <c r="J20" s="9">
        <f>J8</f>
        <v>45500</v>
      </c>
      <c r="K20" s="9"/>
      <c r="L20" s="9"/>
      <c r="M20" s="9"/>
      <c r="N20" s="9"/>
      <c r="O20" s="9"/>
      <c r="P20" s="9"/>
      <c r="Q20" s="9"/>
      <c r="R20" s="9"/>
      <c r="S20" s="9"/>
      <c r="T20" s="9"/>
      <c r="V20" s="9"/>
      <c r="W20" s="9"/>
    </row>
    <row r="21" spans="1:23" ht="20.100000000000001" customHeight="1" x14ac:dyDescent="0.2">
      <c r="B21" s="3" t="s">
        <v>41</v>
      </c>
      <c r="D21" s="128" t="s">
        <v>44</v>
      </c>
      <c r="E21" s="78" t="s">
        <v>100</v>
      </c>
      <c r="F21" s="107" t="s">
        <v>102</v>
      </c>
      <c r="G21" s="9">
        <f>G5+G6</f>
        <v>172384.8</v>
      </c>
      <c r="H21" s="78" t="s">
        <v>100</v>
      </c>
      <c r="I21" s="107" t="s">
        <v>101</v>
      </c>
      <c r="J21" s="9">
        <f>J5+J6</f>
        <v>172384.8</v>
      </c>
      <c r="K21" s="9"/>
      <c r="L21" s="9"/>
      <c r="M21" s="9"/>
      <c r="N21" s="9"/>
      <c r="O21" s="9"/>
      <c r="P21" s="9"/>
      <c r="Q21" s="9"/>
      <c r="R21" s="9"/>
      <c r="S21" s="9"/>
      <c r="T21" s="9"/>
      <c r="V21" s="9"/>
      <c r="W21" s="9"/>
    </row>
    <row r="22" spans="1:23" ht="20.100000000000001" customHeight="1" thickBot="1" x14ac:dyDescent="0.25">
      <c r="F22" s="9"/>
      <c r="G22" s="141">
        <f>SUM(G20:G21)</f>
        <v>218940.19</v>
      </c>
      <c r="H22" s="9"/>
      <c r="I22" s="9"/>
      <c r="J22" s="141">
        <f>SUM(J20:J21)</f>
        <v>217884.79999999999</v>
      </c>
      <c r="K22" s="9"/>
      <c r="L22" s="9"/>
      <c r="M22" s="9"/>
      <c r="N22" s="9"/>
      <c r="O22" s="9"/>
      <c r="P22" s="9"/>
      <c r="Q22" s="9"/>
      <c r="R22" s="9"/>
      <c r="S22" s="9"/>
      <c r="T22" s="9"/>
      <c r="V22" s="9"/>
      <c r="W22" s="9"/>
    </row>
    <row r="23" spans="1:23" ht="20.100000000000001" customHeight="1" thickTop="1" x14ac:dyDescent="0.2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V23" s="9"/>
      <c r="W23" s="9"/>
    </row>
    <row r="24" spans="1:23" ht="20.100000000000001" customHeight="1" x14ac:dyDescent="0.2">
      <c r="E24" s="107" t="s">
        <v>76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V24" s="9"/>
      <c r="W24" s="9"/>
    </row>
    <row r="25" spans="1:23" ht="20.100000000000001" customHeight="1" x14ac:dyDescent="0.2">
      <c r="A25" s="3" t="s">
        <v>77</v>
      </c>
      <c r="B25" s="108" t="s">
        <v>78</v>
      </c>
      <c r="C25" s="12" t="s">
        <v>81</v>
      </c>
      <c r="E25" s="122">
        <f>K19+M19</f>
        <v>13944.8</v>
      </c>
      <c r="F25" s="3" t="s">
        <v>75</v>
      </c>
      <c r="G25" s="3">
        <v>4327</v>
      </c>
      <c r="N25" s="9"/>
    </row>
    <row r="26" spans="1:23" ht="20.100000000000001" customHeight="1" x14ac:dyDescent="0.2">
      <c r="A26" s="2" t="s">
        <v>77</v>
      </c>
      <c r="B26" s="109" t="s">
        <v>79</v>
      </c>
      <c r="C26" s="12" t="s">
        <v>82</v>
      </c>
      <c r="E26" s="122">
        <f>P19</f>
        <v>2520</v>
      </c>
      <c r="F26" s="3" t="s">
        <v>75</v>
      </c>
      <c r="G26" s="3">
        <v>4328</v>
      </c>
      <c r="N26" s="9"/>
    </row>
    <row r="27" spans="1:23" ht="20.100000000000001" customHeight="1" x14ac:dyDescent="0.2">
      <c r="A27" s="2" t="s">
        <v>77</v>
      </c>
      <c r="B27" s="112" t="s">
        <v>26</v>
      </c>
      <c r="C27" s="12" t="s">
        <v>83</v>
      </c>
      <c r="E27" s="122">
        <f>Q19</f>
        <v>14844.600000000002</v>
      </c>
      <c r="F27" s="3" t="s">
        <v>75</v>
      </c>
      <c r="G27" s="3">
        <v>4329</v>
      </c>
    </row>
    <row r="28" spans="1:23" ht="20.100000000000001" customHeight="1" x14ac:dyDescent="0.2">
      <c r="A28" s="2" t="s">
        <v>77</v>
      </c>
      <c r="B28" s="113" t="s">
        <v>97</v>
      </c>
      <c r="C28" s="12" t="s">
        <v>84</v>
      </c>
      <c r="E28" s="122">
        <f>R19+S19</f>
        <v>2476.3565311999996</v>
      </c>
      <c r="F28" s="3" t="s">
        <v>75</v>
      </c>
      <c r="G28" s="3">
        <v>4330</v>
      </c>
    </row>
    <row r="29" spans="1:23" ht="20.100000000000001" customHeight="1" x14ac:dyDescent="0.2">
      <c r="A29" s="2" t="s">
        <v>77</v>
      </c>
      <c r="B29" s="115" t="s">
        <v>28</v>
      </c>
      <c r="C29" s="12" t="s">
        <v>85</v>
      </c>
      <c r="E29" s="122">
        <f>T19</f>
        <v>1249</v>
      </c>
      <c r="F29" s="3" t="s">
        <v>75</v>
      </c>
      <c r="G29" s="3">
        <v>4331</v>
      </c>
    </row>
    <row r="30" spans="1:23" ht="20.100000000000001" customHeight="1" x14ac:dyDescent="0.2">
      <c r="A30" s="2" t="s">
        <v>77</v>
      </c>
      <c r="B30" s="118" t="s">
        <v>29</v>
      </c>
      <c r="C30" s="12" t="s">
        <v>86</v>
      </c>
      <c r="E30" s="122">
        <f>U19</f>
        <v>0</v>
      </c>
      <c r="F30" s="3" t="s">
        <v>75</v>
      </c>
      <c r="G30" s="3">
        <v>4332</v>
      </c>
    </row>
    <row r="31" spans="1:23" ht="20.100000000000001" customHeight="1" x14ac:dyDescent="0.2">
      <c r="A31" s="2" t="s">
        <v>99</v>
      </c>
      <c r="B31" s="119" t="s">
        <v>80</v>
      </c>
      <c r="C31" s="12" t="s">
        <v>98</v>
      </c>
      <c r="E31" s="138">
        <v>258452.77</v>
      </c>
      <c r="F31" s="3" t="s">
        <v>75</v>
      </c>
      <c r="G31" s="3">
        <v>4335</v>
      </c>
      <c r="H31" s="3" t="s">
        <v>87</v>
      </c>
    </row>
  </sheetData>
  <pageMargins left="0.70866141732283472" right="0.70866141732283472" top="0.78740157480314965" bottom="0.78740157480314965" header="0.31496062992125984" footer="0.31496062992125984"/>
  <pageSetup paperSize="9" scale="59" orientation="landscape" horizontalDpi="4294967293" verticalDpi="4294967293" r:id="rId1"/>
  <headerFooter>
    <oddHeader>&amp;L&amp;18&amp;K02-048Firma&amp;R&amp;18&amp;K02-048Lohnblatt</oddHeader>
    <oddFooter>&amp;L&amp;10&amp;K02-047Vorlage von Treuhand Kaufmann&amp;C&amp;"-,Kursiv"&amp;8&amp;K02-049&amp;Z&amp;F&amp;R&amp;10&amp;K02-048&amp;P/&amp;N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3E92-32A5-483A-9568-870916AE9B03}">
  <sheetPr>
    <tabColor theme="5" tint="-0.499984740745262"/>
    <pageSetUpPr fitToPage="1"/>
  </sheetPr>
  <dimension ref="A1:V39"/>
  <sheetViews>
    <sheetView tabSelected="1" workbookViewId="0">
      <pane ySplit="3" topLeftCell="A4" activePane="bottomLeft" state="frozen"/>
      <selection pane="bottomLeft" activeCell="C21" sqref="C21"/>
    </sheetView>
  </sheetViews>
  <sheetFormatPr baseColWidth="10" defaultColWidth="12" defaultRowHeight="20.100000000000001" customHeight="1" x14ac:dyDescent="0.2"/>
  <cols>
    <col min="1" max="1" width="30.1640625" style="7" customWidth="1"/>
    <col min="2" max="2" width="14.5" style="27" bestFit="1" customWidth="1"/>
    <col min="3" max="4" width="12" style="9"/>
    <col min="5" max="6" width="12" style="3"/>
    <col min="7" max="7" width="10.6640625" style="3" bestFit="1" customWidth="1"/>
    <col min="8" max="8" width="9.1640625" style="3" bestFit="1" customWidth="1"/>
    <col min="9" max="10" width="12" style="3"/>
    <col min="11" max="11" width="11.5" style="3" bestFit="1" customWidth="1"/>
    <col min="12" max="12" width="10.1640625" style="3" bestFit="1" customWidth="1"/>
    <col min="13" max="13" width="11.5" style="3" bestFit="1" customWidth="1"/>
    <col min="14" max="14" width="14.1640625" style="3" bestFit="1" customWidth="1"/>
    <col min="15" max="15" width="12" style="3"/>
    <col min="16" max="16" width="12.5" style="3" bestFit="1" customWidth="1"/>
    <col min="17" max="17" width="12" style="3"/>
    <col min="18" max="18" width="13.5" style="3" bestFit="1" customWidth="1"/>
    <col min="20" max="16384" width="12" style="3"/>
  </cols>
  <sheetData>
    <row r="1" spans="1:21" s="1" customFormat="1" ht="20.100000000000001" customHeight="1" x14ac:dyDescent="0.2">
      <c r="A1" s="47">
        <f>Übersicht!A1</f>
        <v>44927</v>
      </c>
      <c r="B1" s="28"/>
      <c r="C1" s="58"/>
      <c r="D1" s="58"/>
      <c r="E1" s="59" t="s">
        <v>45</v>
      </c>
      <c r="F1" s="60"/>
      <c r="G1" s="59" t="s">
        <v>2</v>
      </c>
      <c r="H1" s="59" t="s">
        <v>3</v>
      </c>
      <c r="I1" s="59" t="s">
        <v>4</v>
      </c>
      <c r="J1" s="61"/>
      <c r="K1" s="62"/>
      <c r="L1" s="62"/>
      <c r="M1" s="62"/>
      <c r="N1" s="62"/>
      <c r="O1" s="61"/>
      <c r="P1" s="61"/>
      <c r="Q1" s="61"/>
      <c r="R1" s="63" t="s">
        <v>28</v>
      </c>
      <c r="S1" s="61"/>
      <c r="T1" s="61"/>
      <c r="U1" s="61" t="s">
        <v>68</v>
      </c>
    </row>
    <row r="2" spans="1:21" s="7" customFormat="1" ht="20.100000000000001" customHeight="1" x14ac:dyDescent="0.2">
      <c r="A2" s="48" t="s">
        <v>33</v>
      </c>
      <c r="B2" s="18"/>
      <c r="C2" s="59" t="s">
        <v>71</v>
      </c>
      <c r="D2" s="59" t="s">
        <v>73</v>
      </c>
      <c r="E2" s="59" t="s">
        <v>15</v>
      </c>
      <c r="F2" s="64"/>
      <c r="G2" s="59" t="s">
        <v>17</v>
      </c>
      <c r="H2" s="59" t="s">
        <v>18</v>
      </c>
      <c r="I2" s="59" t="s">
        <v>19</v>
      </c>
      <c r="J2" s="63" t="s">
        <v>20</v>
      </c>
      <c r="K2" s="59" t="s">
        <v>47</v>
      </c>
      <c r="L2" s="59" t="s">
        <v>22</v>
      </c>
      <c r="M2" s="59" t="s">
        <v>48</v>
      </c>
      <c r="N2" s="59" t="s">
        <v>24</v>
      </c>
      <c r="O2" s="63"/>
      <c r="P2" s="63"/>
      <c r="Q2" s="63" t="s">
        <v>27</v>
      </c>
      <c r="R2" s="65">
        <f>Übersicht!T2</f>
        <v>6.7999999999999996E-3</v>
      </c>
      <c r="S2" s="63"/>
      <c r="T2" s="63" t="s">
        <v>30</v>
      </c>
      <c r="U2" s="66" t="s">
        <v>31</v>
      </c>
    </row>
    <row r="3" spans="1:21" s="8" customFormat="1" ht="20.100000000000001" customHeight="1" x14ac:dyDescent="0.2">
      <c r="A3" s="50" t="s">
        <v>125</v>
      </c>
      <c r="B3" s="29" t="s">
        <v>46</v>
      </c>
      <c r="C3" s="58" t="s">
        <v>14</v>
      </c>
      <c r="D3" s="58" t="s">
        <v>14</v>
      </c>
      <c r="E3" s="59" t="s">
        <v>36</v>
      </c>
      <c r="F3" s="59" t="s">
        <v>16</v>
      </c>
      <c r="G3" s="58">
        <f>1400*12</f>
        <v>16800</v>
      </c>
      <c r="H3" s="58">
        <f>Übersicht!I3</f>
        <v>2300</v>
      </c>
      <c r="I3" s="59" t="s">
        <v>14</v>
      </c>
      <c r="J3" s="67">
        <f>Übersicht!K3</f>
        <v>5.2999999999999999E-2</v>
      </c>
      <c r="K3" s="58">
        <v>148200</v>
      </c>
      <c r="L3" s="68">
        <v>1.0999999999999999E-2</v>
      </c>
      <c r="M3" s="58">
        <v>148200</v>
      </c>
      <c r="N3" s="68">
        <v>5.0000000000000001E-3</v>
      </c>
      <c r="O3" s="67" t="s">
        <v>60</v>
      </c>
      <c r="P3" s="67" t="s">
        <v>26</v>
      </c>
      <c r="Q3" s="67">
        <f>Übersicht!R3</f>
        <v>1.13653E-2</v>
      </c>
      <c r="R3" s="69">
        <f>Übersicht!T3</f>
        <v>5.45E-3</v>
      </c>
      <c r="S3" s="67" t="s">
        <v>29</v>
      </c>
      <c r="T3" s="67" t="s">
        <v>38</v>
      </c>
      <c r="U3" s="70" t="s">
        <v>39</v>
      </c>
    </row>
    <row r="4" spans="1:21" ht="20.100000000000001" customHeight="1" x14ac:dyDescent="0.2">
      <c r="A4" s="49" t="s">
        <v>52</v>
      </c>
      <c r="B4" s="41">
        <f>Übersicht!B2+30</f>
        <v>44957</v>
      </c>
      <c r="C4" s="30">
        <f>33*1.02*(1.5+1.5+3.5+4.5+2+1.5+2)</f>
        <v>555.3900000000001</v>
      </c>
      <c r="D4" s="30"/>
      <c r="E4" s="30">
        <v>0</v>
      </c>
      <c r="F4" s="42">
        <f>C4+D4+E4</f>
        <v>555.3900000000001</v>
      </c>
      <c r="G4" s="43">
        <f>IF(OR(AND($A$9="w",$A$7+(64*365)&lt;B4),($A$7+(65*365)&lt;B4)),$G$3/12,0)</f>
        <v>0</v>
      </c>
      <c r="H4" s="43">
        <f>IF($F$19&lt;$H$3+0.004,F4,0)</f>
        <v>555.3900000000001</v>
      </c>
      <c r="I4" s="43">
        <f>IF($A$7+6205&gt;$A$1,0,(IF(H4&gt;0.004,(IF(F4-H4&gt;0,F4-H4,0)),(IF(F4-G4&gt;0,F4-G4,0)))))</f>
        <v>0</v>
      </c>
      <c r="J4" s="44">
        <f>I4*$J$3</f>
        <v>0</v>
      </c>
      <c r="K4" s="43">
        <f>IF(G4&lt;0.004,IF(I4&gt;$K$3/12,$K$3/12,I4),0)</f>
        <v>0</v>
      </c>
      <c r="L4" s="43">
        <f>K4*$L$3</f>
        <v>0</v>
      </c>
      <c r="M4" s="43">
        <f t="shared" ref="M4:M15" si="0">IF(G4&lt;0.004,I4-K4,0)</f>
        <v>0</v>
      </c>
      <c r="N4" s="43">
        <f>M4*$N$3</f>
        <v>0</v>
      </c>
      <c r="O4" s="39">
        <v>0</v>
      </c>
      <c r="P4" s="39">
        <v>0</v>
      </c>
      <c r="Q4" s="44">
        <f>IF($A$15="ja",0,F4*$Q$3)</f>
        <v>0</v>
      </c>
      <c r="R4" s="44"/>
      <c r="S4" s="39">
        <v>0</v>
      </c>
      <c r="T4" s="39">
        <v>0</v>
      </c>
      <c r="U4" s="121">
        <f>C4-J4-L4-N4+O4-P4-Q4-R4-S4+T4</f>
        <v>555.3900000000001</v>
      </c>
    </row>
    <row r="5" spans="1:21" ht="20.100000000000001" customHeight="1" x14ac:dyDescent="0.2">
      <c r="A5" s="51" t="s">
        <v>126</v>
      </c>
      <c r="B5" s="36">
        <f t="shared" ref="B5:B15" si="1">EDATE(B4,1)</f>
        <v>44985</v>
      </c>
      <c r="C5" s="30"/>
      <c r="D5" s="30"/>
      <c r="E5" s="30">
        <v>0</v>
      </c>
      <c r="F5" s="42">
        <f t="shared" ref="F5:F15" si="2">C5+D5+E5</f>
        <v>0</v>
      </c>
      <c r="G5" s="9">
        <f t="shared" ref="G5:G15" si="3">IF(OR(AND($A$9="w",$A$7+(64*365)&lt;B5),($A$7+(65*365)&lt;B5)),$G$3/12,0)</f>
        <v>0</v>
      </c>
      <c r="H5" s="9">
        <f t="shared" ref="H5:H15" si="4">IF($F$19&lt;$H$3+0.004,F5,0)</f>
        <v>0</v>
      </c>
      <c r="I5" s="9">
        <f>IF($A$7+6205&gt;$A$1,0,(IF(H5&gt;0.004,(IF(F5-H5&gt;0,F5-H5,0)),(IF(F5-G5&gt;0,F5-G5,0)))))</f>
        <v>0</v>
      </c>
      <c r="J5" s="20">
        <f t="shared" ref="J5:J15" si="5">I5*$J$3</f>
        <v>0</v>
      </c>
      <c r="K5" s="9">
        <f t="shared" ref="K5:K15" si="6">IF(G5&lt;0.004,IF(I5&gt;$K$3/12,$K$3/12,I5),0)</f>
        <v>0</v>
      </c>
      <c r="L5" s="9">
        <f t="shared" ref="L5:L15" si="7">K5*$L$3</f>
        <v>0</v>
      </c>
      <c r="M5" s="9">
        <f t="shared" si="0"/>
        <v>0</v>
      </c>
      <c r="N5" s="9">
        <f t="shared" ref="N5:N15" si="8">M5*$N$3</f>
        <v>0</v>
      </c>
      <c r="O5" s="39">
        <v>0</v>
      </c>
      <c r="P5" s="39">
        <v>0</v>
      </c>
      <c r="Q5" s="20">
        <f t="shared" ref="Q5:Q15" si="9">IF($A$15="ja",0,F5*$Q$3)</f>
        <v>0</v>
      </c>
      <c r="R5" s="20"/>
      <c r="S5" s="39">
        <v>0</v>
      </c>
      <c r="T5" s="39">
        <v>0</v>
      </c>
      <c r="U5" s="121">
        <f t="shared" ref="U5:U15" si="10">C5-J5-L5-N5+O5-P5-Q5-R5-S5+T5</f>
        <v>0</v>
      </c>
    </row>
    <row r="6" spans="1:21" ht="20.100000000000001" customHeight="1" x14ac:dyDescent="0.2">
      <c r="A6" s="49" t="s">
        <v>53</v>
      </c>
      <c r="B6" s="41">
        <f t="shared" si="1"/>
        <v>45013</v>
      </c>
      <c r="C6" s="30"/>
      <c r="D6" s="30"/>
      <c r="E6" s="30">
        <v>0</v>
      </c>
      <c r="F6" s="42">
        <f t="shared" si="2"/>
        <v>0</v>
      </c>
      <c r="G6" s="43">
        <f t="shared" si="3"/>
        <v>0</v>
      </c>
      <c r="H6" s="43">
        <f t="shared" si="4"/>
        <v>0</v>
      </c>
      <c r="I6" s="43">
        <f t="shared" ref="I6:I15" si="11">IF($A$7+6205&gt;$A$1,0,(IF(H6&gt;0.004,(IF(F6-H6&gt;0,F6-H6,0)),(IF(F6-G6&gt;0,F6-G6,0)))))</f>
        <v>0</v>
      </c>
      <c r="J6" s="44">
        <f t="shared" si="5"/>
        <v>0</v>
      </c>
      <c r="K6" s="43">
        <f t="shared" si="6"/>
        <v>0</v>
      </c>
      <c r="L6" s="43">
        <f t="shared" si="7"/>
        <v>0</v>
      </c>
      <c r="M6" s="43">
        <f t="shared" si="0"/>
        <v>0</v>
      </c>
      <c r="N6" s="43">
        <f t="shared" si="8"/>
        <v>0</v>
      </c>
      <c r="O6" s="39">
        <v>0</v>
      </c>
      <c r="P6" s="39">
        <v>0</v>
      </c>
      <c r="Q6" s="44">
        <f t="shared" si="9"/>
        <v>0</v>
      </c>
      <c r="R6" s="44"/>
      <c r="S6" s="39">
        <v>0</v>
      </c>
      <c r="T6" s="39">
        <v>0</v>
      </c>
      <c r="U6" s="121">
        <f t="shared" si="10"/>
        <v>0</v>
      </c>
    </row>
    <row r="7" spans="1:21" ht="20.100000000000001" customHeight="1" x14ac:dyDescent="0.2">
      <c r="A7" s="52">
        <v>25933</v>
      </c>
      <c r="B7" s="36">
        <f t="shared" si="1"/>
        <v>45044</v>
      </c>
      <c r="C7" s="30"/>
      <c r="D7" s="30"/>
      <c r="E7" s="30">
        <v>0</v>
      </c>
      <c r="F7" s="42">
        <f t="shared" si="2"/>
        <v>0</v>
      </c>
      <c r="G7" s="9">
        <f t="shared" si="3"/>
        <v>0</v>
      </c>
      <c r="H7" s="9">
        <f t="shared" si="4"/>
        <v>0</v>
      </c>
      <c r="I7" s="9">
        <f t="shared" si="11"/>
        <v>0</v>
      </c>
      <c r="J7" s="20">
        <f t="shared" si="5"/>
        <v>0</v>
      </c>
      <c r="K7" s="9">
        <f t="shared" si="6"/>
        <v>0</v>
      </c>
      <c r="L7" s="9">
        <f t="shared" si="7"/>
        <v>0</v>
      </c>
      <c r="M7" s="9">
        <f t="shared" si="0"/>
        <v>0</v>
      </c>
      <c r="N7" s="9">
        <f t="shared" si="8"/>
        <v>0</v>
      </c>
      <c r="O7" s="39">
        <v>0</v>
      </c>
      <c r="P7" s="39">
        <v>0</v>
      </c>
      <c r="Q7" s="20">
        <f t="shared" si="9"/>
        <v>0</v>
      </c>
      <c r="R7" s="20"/>
      <c r="S7" s="39">
        <v>0</v>
      </c>
      <c r="T7" s="39">
        <v>0</v>
      </c>
      <c r="U7" s="121">
        <f t="shared" si="10"/>
        <v>0</v>
      </c>
    </row>
    <row r="8" spans="1:21" ht="20.100000000000001" customHeight="1" x14ac:dyDescent="0.2">
      <c r="A8" s="49" t="s">
        <v>54</v>
      </c>
      <c r="B8" s="41">
        <f t="shared" si="1"/>
        <v>45074</v>
      </c>
      <c r="C8" s="30"/>
      <c r="D8" s="30"/>
      <c r="E8" s="30">
        <v>0</v>
      </c>
      <c r="F8" s="42">
        <f t="shared" si="2"/>
        <v>0</v>
      </c>
      <c r="G8" s="43">
        <f t="shared" si="3"/>
        <v>0</v>
      </c>
      <c r="H8" s="43">
        <f t="shared" si="4"/>
        <v>0</v>
      </c>
      <c r="I8" s="43">
        <f t="shared" si="11"/>
        <v>0</v>
      </c>
      <c r="J8" s="44">
        <f t="shared" si="5"/>
        <v>0</v>
      </c>
      <c r="K8" s="43">
        <f t="shared" si="6"/>
        <v>0</v>
      </c>
      <c r="L8" s="43">
        <f t="shared" si="7"/>
        <v>0</v>
      </c>
      <c r="M8" s="43">
        <f t="shared" si="0"/>
        <v>0</v>
      </c>
      <c r="N8" s="43">
        <f t="shared" si="8"/>
        <v>0</v>
      </c>
      <c r="O8" s="39">
        <v>0</v>
      </c>
      <c r="P8" s="39">
        <v>0</v>
      </c>
      <c r="Q8" s="44">
        <f t="shared" si="9"/>
        <v>0</v>
      </c>
      <c r="R8" s="44"/>
      <c r="S8" s="39">
        <v>0</v>
      </c>
      <c r="T8" s="39">
        <v>0</v>
      </c>
      <c r="U8" s="121">
        <f t="shared" si="10"/>
        <v>0</v>
      </c>
    </row>
    <row r="9" spans="1:21" ht="20.100000000000001" customHeight="1" x14ac:dyDescent="0.2">
      <c r="A9" s="53" t="s">
        <v>43</v>
      </c>
      <c r="B9" s="36">
        <f t="shared" si="1"/>
        <v>45105</v>
      </c>
      <c r="C9" s="30"/>
      <c r="D9" s="30"/>
      <c r="E9" s="30">
        <v>0</v>
      </c>
      <c r="F9" s="42">
        <f t="shared" si="2"/>
        <v>0</v>
      </c>
      <c r="G9" s="9">
        <f t="shared" si="3"/>
        <v>0</v>
      </c>
      <c r="H9" s="9">
        <f t="shared" si="4"/>
        <v>0</v>
      </c>
      <c r="I9" s="9">
        <f t="shared" si="11"/>
        <v>0</v>
      </c>
      <c r="J9" s="20">
        <f t="shared" si="5"/>
        <v>0</v>
      </c>
      <c r="K9" s="9">
        <f t="shared" si="6"/>
        <v>0</v>
      </c>
      <c r="L9" s="9">
        <f t="shared" si="7"/>
        <v>0</v>
      </c>
      <c r="M9" s="9">
        <f>IF(G9&lt;0.004,I9-K9,0)</f>
        <v>0</v>
      </c>
      <c r="N9" s="9">
        <f t="shared" si="8"/>
        <v>0</v>
      </c>
      <c r="O9" s="39">
        <v>0</v>
      </c>
      <c r="P9" s="39">
        <v>0</v>
      </c>
      <c r="Q9" s="20">
        <f t="shared" si="9"/>
        <v>0</v>
      </c>
      <c r="R9" s="20"/>
      <c r="S9" s="39">
        <v>0</v>
      </c>
      <c r="T9" s="39">
        <v>0</v>
      </c>
      <c r="U9" s="121">
        <f t="shared" si="10"/>
        <v>0</v>
      </c>
    </row>
    <row r="10" spans="1:21" ht="20.100000000000001" customHeight="1" x14ac:dyDescent="0.2">
      <c r="A10" s="49" t="s">
        <v>55</v>
      </c>
      <c r="B10" s="41">
        <f t="shared" si="1"/>
        <v>45135</v>
      </c>
      <c r="C10" s="30"/>
      <c r="D10" s="30"/>
      <c r="E10" s="30">
        <v>0</v>
      </c>
      <c r="F10" s="42">
        <f t="shared" si="2"/>
        <v>0</v>
      </c>
      <c r="G10" s="43">
        <f t="shared" si="3"/>
        <v>0</v>
      </c>
      <c r="H10" s="43">
        <f t="shared" si="4"/>
        <v>0</v>
      </c>
      <c r="I10" s="43">
        <f t="shared" si="11"/>
        <v>0</v>
      </c>
      <c r="J10" s="44">
        <f t="shared" si="5"/>
        <v>0</v>
      </c>
      <c r="K10" s="43">
        <f t="shared" si="6"/>
        <v>0</v>
      </c>
      <c r="L10" s="43">
        <f t="shared" si="7"/>
        <v>0</v>
      </c>
      <c r="M10" s="43">
        <f t="shared" si="0"/>
        <v>0</v>
      </c>
      <c r="N10" s="43">
        <f t="shared" si="8"/>
        <v>0</v>
      </c>
      <c r="O10" s="39">
        <v>0</v>
      </c>
      <c r="P10" s="39">
        <v>0</v>
      </c>
      <c r="Q10" s="44">
        <f t="shared" si="9"/>
        <v>0</v>
      </c>
      <c r="R10" s="44"/>
      <c r="S10" s="39">
        <v>0</v>
      </c>
      <c r="T10" s="39">
        <v>0</v>
      </c>
      <c r="U10" s="121">
        <f t="shared" si="10"/>
        <v>0</v>
      </c>
    </row>
    <row r="11" spans="1:21" ht="20.100000000000001" customHeight="1" x14ac:dyDescent="0.2">
      <c r="A11" s="53"/>
      <c r="B11" s="36">
        <f t="shared" si="1"/>
        <v>45166</v>
      </c>
      <c r="C11" s="30"/>
      <c r="D11" s="30"/>
      <c r="E11" s="30">
        <v>0</v>
      </c>
      <c r="F11" s="42">
        <f t="shared" si="2"/>
        <v>0</v>
      </c>
      <c r="G11" s="9">
        <f t="shared" si="3"/>
        <v>0</v>
      </c>
      <c r="H11" s="9">
        <f t="shared" si="4"/>
        <v>0</v>
      </c>
      <c r="I11" s="9">
        <f t="shared" si="11"/>
        <v>0</v>
      </c>
      <c r="J11" s="20">
        <f t="shared" si="5"/>
        <v>0</v>
      </c>
      <c r="K11" s="9">
        <f t="shared" si="6"/>
        <v>0</v>
      </c>
      <c r="L11" s="9">
        <f t="shared" si="7"/>
        <v>0</v>
      </c>
      <c r="M11" s="9">
        <f t="shared" si="0"/>
        <v>0</v>
      </c>
      <c r="N11" s="9">
        <f t="shared" si="8"/>
        <v>0</v>
      </c>
      <c r="O11" s="39">
        <v>0</v>
      </c>
      <c r="P11" s="39">
        <v>0</v>
      </c>
      <c r="Q11" s="20">
        <f t="shared" si="9"/>
        <v>0</v>
      </c>
      <c r="R11" s="20"/>
      <c r="S11" s="39">
        <v>0</v>
      </c>
      <c r="T11" s="39">
        <v>0</v>
      </c>
      <c r="U11" s="121">
        <f t="shared" si="10"/>
        <v>0</v>
      </c>
    </row>
    <row r="12" spans="1:21" ht="20.100000000000001" customHeight="1" x14ac:dyDescent="0.2">
      <c r="A12" s="49" t="s">
        <v>56</v>
      </c>
      <c r="B12" s="41">
        <f t="shared" si="1"/>
        <v>45197</v>
      </c>
      <c r="C12" s="30"/>
      <c r="D12" s="30"/>
      <c r="E12" s="30">
        <v>0</v>
      </c>
      <c r="F12" s="42">
        <f t="shared" si="2"/>
        <v>0</v>
      </c>
      <c r="G12" s="43">
        <f t="shared" si="3"/>
        <v>0</v>
      </c>
      <c r="H12" s="43">
        <f t="shared" si="4"/>
        <v>0</v>
      </c>
      <c r="I12" s="43">
        <f t="shared" si="11"/>
        <v>0</v>
      </c>
      <c r="J12" s="44">
        <f t="shared" si="5"/>
        <v>0</v>
      </c>
      <c r="K12" s="43">
        <f t="shared" si="6"/>
        <v>0</v>
      </c>
      <c r="L12" s="43">
        <f t="shared" si="7"/>
        <v>0</v>
      </c>
      <c r="M12" s="43">
        <f t="shared" si="0"/>
        <v>0</v>
      </c>
      <c r="N12" s="43">
        <f t="shared" si="8"/>
        <v>0</v>
      </c>
      <c r="O12" s="39">
        <v>0</v>
      </c>
      <c r="P12" s="39">
        <v>0</v>
      </c>
      <c r="Q12" s="44">
        <f t="shared" si="9"/>
        <v>0</v>
      </c>
      <c r="R12" s="44"/>
      <c r="S12" s="39">
        <v>0</v>
      </c>
      <c r="T12" s="39">
        <v>0</v>
      </c>
      <c r="U12" s="121">
        <f t="shared" si="10"/>
        <v>0</v>
      </c>
    </row>
    <row r="13" spans="1:21" ht="20.100000000000001" customHeight="1" x14ac:dyDescent="0.2">
      <c r="A13" s="53"/>
      <c r="B13" s="36">
        <f t="shared" si="1"/>
        <v>45227</v>
      </c>
      <c r="C13" s="30"/>
      <c r="D13" s="30"/>
      <c r="E13" s="30">
        <v>0</v>
      </c>
      <c r="F13" s="42">
        <f t="shared" si="2"/>
        <v>0</v>
      </c>
      <c r="G13" s="9">
        <f t="shared" si="3"/>
        <v>0</v>
      </c>
      <c r="H13" s="9">
        <f t="shared" si="4"/>
        <v>0</v>
      </c>
      <c r="I13" s="9">
        <f t="shared" si="11"/>
        <v>0</v>
      </c>
      <c r="J13" s="20">
        <f t="shared" si="5"/>
        <v>0</v>
      </c>
      <c r="K13" s="9">
        <f t="shared" si="6"/>
        <v>0</v>
      </c>
      <c r="L13" s="9">
        <f t="shared" si="7"/>
        <v>0</v>
      </c>
      <c r="M13" s="9">
        <f t="shared" si="0"/>
        <v>0</v>
      </c>
      <c r="N13" s="9">
        <f t="shared" si="8"/>
        <v>0</v>
      </c>
      <c r="O13" s="39">
        <v>0</v>
      </c>
      <c r="P13" s="39">
        <v>0</v>
      </c>
      <c r="Q13" s="20">
        <f t="shared" si="9"/>
        <v>0</v>
      </c>
      <c r="R13" s="20"/>
      <c r="S13" s="39">
        <v>0</v>
      </c>
      <c r="T13" s="39">
        <v>0</v>
      </c>
      <c r="U13" s="121">
        <f t="shared" si="10"/>
        <v>0</v>
      </c>
    </row>
    <row r="14" spans="1:21" ht="20.100000000000001" customHeight="1" x14ac:dyDescent="0.2">
      <c r="A14" s="49" t="s">
        <v>49</v>
      </c>
      <c r="B14" s="41">
        <f t="shared" si="1"/>
        <v>45258</v>
      </c>
      <c r="C14" s="30"/>
      <c r="D14" s="30"/>
      <c r="E14" s="30">
        <v>0</v>
      </c>
      <c r="F14" s="42">
        <f t="shared" si="2"/>
        <v>0</v>
      </c>
      <c r="G14" s="43">
        <f t="shared" si="3"/>
        <v>0</v>
      </c>
      <c r="H14" s="43">
        <f t="shared" si="4"/>
        <v>0</v>
      </c>
      <c r="I14" s="43">
        <f t="shared" si="11"/>
        <v>0</v>
      </c>
      <c r="J14" s="44">
        <f t="shared" si="5"/>
        <v>0</v>
      </c>
      <c r="K14" s="43">
        <f t="shared" si="6"/>
        <v>0</v>
      </c>
      <c r="L14" s="43">
        <f t="shared" si="7"/>
        <v>0</v>
      </c>
      <c r="M14" s="43">
        <f t="shared" si="0"/>
        <v>0</v>
      </c>
      <c r="N14" s="43">
        <f t="shared" si="8"/>
        <v>0</v>
      </c>
      <c r="O14" s="39">
        <v>0</v>
      </c>
      <c r="P14" s="39">
        <v>0</v>
      </c>
      <c r="Q14" s="44">
        <f t="shared" si="9"/>
        <v>0</v>
      </c>
      <c r="R14" s="44"/>
      <c r="S14" s="39">
        <v>0</v>
      </c>
      <c r="T14" s="39">
        <v>0</v>
      </c>
      <c r="U14" s="121">
        <f t="shared" si="10"/>
        <v>0</v>
      </c>
    </row>
    <row r="15" spans="1:21" ht="20.100000000000001" customHeight="1" x14ac:dyDescent="0.2">
      <c r="A15" s="53" t="s">
        <v>65</v>
      </c>
      <c r="B15" s="36">
        <f t="shared" si="1"/>
        <v>45288</v>
      </c>
      <c r="C15" s="30"/>
      <c r="D15" s="30">
        <v>500</v>
      </c>
      <c r="E15" s="30">
        <v>0</v>
      </c>
      <c r="F15" s="42">
        <f t="shared" si="2"/>
        <v>500</v>
      </c>
      <c r="G15" s="9">
        <f t="shared" si="3"/>
        <v>0</v>
      </c>
      <c r="H15" s="9">
        <f t="shared" si="4"/>
        <v>500</v>
      </c>
      <c r="I15" s="9">
        <f t="shared" si="11"/>
        <v>0</v>
      </c>
      <c r="J15" s="20">
        <f t="shared" si="5"/>
        <v>0</v>
      </c>
      <c r="K15" s="38">
        <f t="shared" si="6"/>
        <v>0</v>
      </c>
      <c r="L15" s="9">
        <f t="shared" si="7"/>
        <v>0</v>
      </c>
      <c r="M15" s="9">
        <f t="shared" si="0"/>
        <v>0</v>
      </c>
      <c r="N15" s="9">
        <f t="shared" si="8"/>
        <v>0</v>
      </c>
      <c r="O15" s="39">
        <v>0</v>
      </c>
      <c r="P15" s="39">
        <v>0</v>
      </c>
      <c r="Q15" s="20">
        <f t="shared" si="9"/>
        <v>0</v>
      </c>
      <c r="R15" s="20"/>
      <c r="S15" s="39">
        <v>0</v>
      </c>
      <c r="T15" s="39">
        <v>0</v>
      </c>
      <c r="U15" s="121">
        <f t="shared" si="10"/>
        <v>0</v>
      </c>
    </row>
    <row r="16" spans="1:21" ht="20.100000000000001" customHeight="1" x14ac:dyDescent="0.2">
      <c r="A16" s="49" t="s">
        <v>57</v>
      </c>
      <c r="B16" s="40"/>
      <c r="C16" s="149"/>
      <c r="D16" s="149"/>
      <c r="E16" s="46"/>
      <c r="F16" s="42"/>
      <c r="G16" s="43"/>
      <c r="H16" s="43"/>
      <c r="I16" s="43"/>
      <c r="J16" s="44"/>
      <c r="K16" s="42"/>
      <c r="L16" s="43"/>
      <c r="M16" s="43"/>
      <c r="N16" s="43"/>
      <c r="O16" s="45"/>
      <c r="P16" s="44"/>
      <c r="Q16" s="44"/>
      <c r="R16" s="44"/>
      <c r="S16" s="45"/>
      <c r="T16" s="45"/>
      <c r="U16" s="150"/>
    </row>
    <row r="17" spans="1:22" ht="20.100000000000001" customHeight="1" x14ac:dyDescent="0.2">
      <c r="A17" s="52">
        <v>44501</v>
      </c>
      <c r="B17" s="41"/>
      <c r="C17" s="46"/>
      <c r="D17" s="46"/>
      <c r="E17" s="46"/>
      <c r="F17" s="42"/>
      <c r="G17" s="43"/>
      <c r="H17" s="43"/>
      <c r="I17" s="43"/>
      <c r="J17" s="44"/>
      <c r="K17" s="42"/>
      <c r="L17" s="43"/>
      <c r="M17" s="43"/>
      <c r="N17" s="43"/>
      <c r="O17" s="45"/>
      <c r="P17" s="44"/>
      <c r="Q17" s="44"/>
      <c r="R17" s="44"/>
      <c r="S17" s="45"/>
      <c r="T17" s="45"/>
      <c r="U17" s="150"/>
    </row>
    <row r="18" spans="1:22" ht="20.100000000000001" customHeight="1" x14ac:dyDescent="0.2">
      <c r="A18" s="49" t="s">
        <v>58</v>
      </c>
      <c r="B18" s="151"/>
      <c r="C18" s="152"/>
      <c r="D18" s="46"/>
      <c r="E18" s="46"/>
      <c r="F18" s="42"/>
      <c r="G18" s="43"/>
      <c r="H18" s="43"/>
      <c r="I18" s="43"/>
      <c r="J18" s="44"/>
      <c r="K18" s="42"/>
      <c r="L18" s="43"/>
      <c r="M18" s="43"/>
      <c r="N18" s="43"/>
      <c r="O18" s="45"/>
      <c r="P18" s="44"/>
      <c r="Q18" s="44"/>
      <c r="R18" s="44"/>
      <c r="S18" s="45"/>
      <c r="T18" s="45"/>
      <c r="U18" s="150"/>
    </row>
    <row r="19" spans="1:22" s="56" customFormat="1" ht="20.100000000000001" customHeight="1" x14ac:dyDescent="0.2">
      <c r="A19" s="54" t="s">
        <v>51</v>
      </c>
      <c r="B19" s="37"/>
      <c r="C19" s="55">
        <f t="shared" ref="C19:T19" si="12">SUM(C4:C18)</f>
        <v>555.3900000000001</v>
      </c>
      <c r="D19" s="55"/>
      <c r="E19" s="55">
        <f t="shared" si="12"/>
        <v>0</v>
      </c>
      <c r="F19" s="55">
        <f t="shared" si="12"/>
        <v>1055.3900000000001</v>
      </c>
      <c r="G19" s="55">
        <f t="shared" si="12"/>
        <v>0</v>
      </c>
      <c r="H19" s="55">
        <f t="shared" si="12"/>
        <v>1055.3900000000001</v>
      </c>
      <c r="I19" s="55">
        <f t="shared" si="12"/>
        <v>0</v>
      </c>
      <c r="J19" s="106">
        <f t="shared" si="12"/>
        <v>0</v>
      </c>
      <c r="K19" s="55">
        <f t="shared" si="12"/>
        <v>0</v>
      </c>
      <c r="L19" s="55">
        <f t="shared" si="12"/>
        <v>0</v>
      </c>
      <c r="M19" s="55">
        <f t="shared" si="12"/>
        <v>0</v>
      </c>
      <c r="N19" s="55">
        <f t="shared" si="12"/>
        <v>0</v>
      </c>
      <c r="O19" s="55">
        <f t="shared" si="12"/>
        <v>0</v>
      </c>
      <c r="P19" s="55">
        <f t="shared" si="12"/>
        <v>0</v>
      </c>
      <c r="Q19" s="55">
        <f t="shared" si="12"/>
        <v>0</v>
      </c>
      <c r="R19" s="55">
        <f t="shared" si="12"/>
        <v>0</v>
      </c>
      <c r="S19" s="55">
        <f t="shared" si="12"/>
        <v>0</v>
      </c>
      <c r="T19" s="55">
        <f t="shared" si="12"/>
        <v>0</v>
      </c>
      <c r="U19" s="55">
        <f>SUM(U4:U18)</f>
        <v>555.3900000000001</v>
      </c>
    </row>
    <row r="20" spans="1:22" ht="20.100000000000001" customHeight="1" x14ac:dyDescent="0.2">
      <c r="A20" s="155"/>
      <c r="B20" s="156" t="s">
        <v>88</v>
      </c>
      <c r="C20" s="157" t="s">
        <v>89</v>
      </c>
      <c r="D20" s="157" t="s">
        <v>90</v>
      </c>
      <c r="E20" s="157" t="s">
        <v>91</v>
      </c>
      <c r="F20" s="157" t="s">
        <v>92</v>
      </c>
      <c r="G20" s="157"/>
      <c r="H20" s="157"/>
      <c r="I20" s="157"/>
      <c r="J20" s="157" t="s">
        <v>103</v>
      </c>
      <c r="K20" s="155"/>
      <c r="L20" s="157" t="s">
        <v>103</v>
      </c>
      <c r="M20" s="157"/>
      <c r="N20" s="157" t="s">
        <v>103</v>
      </c>
      <c r="O20" s="157"/>
      <c r="P20" s="157"/>
      <c r="Q20" s="157" t="s">
        <v>103</v>
      </c>
      <c r="R20" s="157"/>
      <c r="S20" s="158"/>
      <c r="T20" s="159"/>
      <c r="U20" s="157"/>
      <c r="V20" s="160">
        <f>V19+S19+R19+E19</f>
        <v>0</v>
      </c>
    </row>
    <row r="21" spans="1:22" ht="20.100000000000001" customHeight="1" x14ac:dyDescent="0.2">
      <c r="E21" s="9"/>
      <c r="F21" s="9"/>
      <c r="G21" s="9"/>
      <c r="H21" s="9"/>
      <c r="I21" s="9"/>
      <c r="J21" s="9"/>
      <c r="K21" s="9"/>
      <c r="L21" s="9"/>
      <c r="M21" s="9"/>
      <c r="N21" s="30"/>
      <c r="O21" s="9"/>
      <c r="P21" s="9"/>
      <c r="Q21" s="9"/>
      <c r="R21" s="9"/>
      <c r="T21" s="9"/>
      <c r="U21" s="9"/>
    </row>
    <row r="22" spans="1:22" ht="20.100000000000001" customHeight="1" x14ac:dyDescent="0.2"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T22" s="9"/>
      <c r="U22" s="9"/>
    </row>
    <row r="23" spans="1:22" ht="20.100000000000001" customHeight="1" x14ac:dyDescent="0.2"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T23" s="9"/>
      <c r="U23" s="9"/>
    </row>
    <row r="24" spans="1:22" ht="20.100000000000001" customHeight="1" x14ac:dyDescent="0.2">
      <c r="A24" s="154" t="s">
        <v>106</v>
      </c>
      <c r="B24" s="34" t="s">
        <v>107</v>
      </c>
      <c r="C24" s="34" t="s">
        <v>108</v>
      </c>
      <c r="D24" s="34" t="s">
        <v>109</v>
      </c>
      <c r="E24" s="34" t="s">
        <v>110</v>
      </c>
      <c r="F24" s="34" t="s">
        <v>111</v>
      </c>
      <c r="G24" s="34" t="s">
        <v>112</v>
      </c>
      <c r="H24" s="34" t="s">
        <v>113</v>
      </c>
      <c r="I24" s="34" t="s">
        <v>114</v>
      </c>
      <c r="J24" s="34" t="s">
        <v>115</v>
      </c>
      <c r="K24" s="34" t="s">
        <v>116</v>
      </c>
      <c r="L24" s="34" t="s">
        <v>117</v>
      </c>
      <c r="M24" s="34" t="s">
        <v>118</v>
      </c>
    </row>
    <row r="25" spans="1:22" ht="20.100000000000001" customHeight="1" x14ac:dyDescent="0.2">
      <c r="B25" s="147">
        <v>1.5</v>
      </c>
      <c r="M25" s="9"/>
      <c r="N25" s="9"/>
    </row>
    <row r="26" spans="1:22" ht="20.100000000000001" customHeight="1" x14ac:dyDescent="0.2">
      <c r="A26" s="27"/>
      <c r="B26" s="147">
        <v>1.5</v>
      </c>
    </row>
    <row r="27" spans="1:22" ht="20.100000000000001" customHeight="1" x14ac:dyDescent="0.2">
      <c r="A27" s="27"/>
      <c r="B27" s="147">
        <v>3.5</v>
      </c>
      <c r="M27" s="9"/>
      <c r="N27" s="9"/>
    </row>
    <row r="28" spans="1:22" ht="20.100000000000001" customHeight="1" x14ac:dyDescent="0.2">
      <c r="A28" s="33"/>
      <c r="B28" s="147">
        <v>4.5</v>
      </c>
    </row>
    <row r="29" spans="1:22" ht="20.100000000000001" customHeight="1" x14ac:dyDescent="0.2">
      <c r="B29" s="147">
        <v>2</v>
      </c>
      <c r="M29" s="9"/>
      <c r="N29" s="9"/>
    </row>
    <row r="30" spans="1:22" ht="20.100000000000001" customHeight="1" x14ac:dyDescent="0.2">
      <c r="B30" s="147">
        <v>1.5</v>
      </c>
    </row>
    <row r="31" spans="1:22" ht="20.100000000000001" customHeight="1" x14ac:dyDescent="0.2">
      <c r="B31" s="147">
        <v>2</v>
      </c>
      <c r="M31" s="9"/>
      <c r="N31" s="9"/>
    </row>
    <row r="32" spans="1:22" ht="20.100000000000001" customHeight="1" x14ac:dyDescent="0.2">
      <c r="B32" s="148">
        <f>SUM(B25:B31)</f>
        <v>16.5</v>
      </c>
    </row>
    <row r="33" spans="13:14" ht="20.100000000000001" customHeight="1" x14ac:dyDescent="0.2">
      <c r="M33" s="9"/>
      <c r="N33" s="9"/>
    </row>
    <row r="35" spans="13:14" ht="20.100000000000001" customHeight="1" x14ac:dyDescent="0.2">
      <c r="M35" s="9"/>
      <c r="N35" s="9"/>
    </row>
    <row r="37" spans="13:14" ht="20.100000000000001" customHeight="1" x14ac:dyDescent="0.2">
      <c r="M37" s="9"/>
      <c r="N37" s="9"/>
    </row>
    <row r="39" spans="13:14" ht="20.100000000000001" customHeight="1" x14ac:dyDescent="0.2">
      <c r="M39" s="9"/>
      <c r="N39" s="9"/>
    </row>
  </sheetData>
  <mergeCells count="1">
    <mergeCell ref="B18:C18"/>
  </mergeCells>
  <phoneticPr fontId="26" type="noConversion"/>
  <pageMargins left="0.70866141732283472" right="0.70866141732283472" top="0.78740157480314965" bottom="0.78740157480314965" header="0.31496062992125984" footer="0.31496062992125984"/>
  <pageSetup paperSize="9" scale="54" orientation="landscape" r:id="rId1"/>
  <headerFooter>
    <oddHeader>&amp;L&amp;18&amp;K02-048Firma&amp;R&amp;18&amp;K02-048Lohnblatt</oddHeader>
    <oddFooter>&amp;L&amp;10&amp;K02-047Vorlage von Treuhand Kaufmann&amp;C&amp;"-,Kursiv"&amp;8&amp;K02-049&amp;Z&amp;F&amp;R&amp;10&amp;K02-048&amp;P/&amp;N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32A1-1304-4F80-91B9-E6B1F1E15129}">
  <sheetPr>
    <tabColor rgb="FFC59EE2"/>
    <pageSetUpPr fitToPage="1"/>
  </sheetPr>
  <dimension ref="A1:Y39"/>
  <sheetViews>
    <sheetView zoomScale="115" zoomScaleNormal="115" workbookViewId="0">
      <pane ySplit="3" topLeftCell="A4" activePane="bottomLeft" state="frozen"/>
      <selection pane="bottomLeft" activeCell="C22" sqref="C22"/>
    </sheetView>
  </sheetViews>
  <sheetFormatPr baseColWidth="10" defaultColWidth="12" defaultRowHeight="20.100000000000001" customHeight="1" x14ac:dyDescent="0.2"/>
  <cols>
    <col min="1" max="1" width="30.1640625" style="7" customWidth="1"/>
    <col min="2" max="2" width="12.83203125" style="27" bestFit="1" customWidth="1"/>
    <col min="3" max="4" width="11.83203125" style="9" bestFit="1" customWidth="1"/>
    <col min="5" max="5" width="10.5" style="9" bestFit="1" customWidth="1"/>
    <col min="6" max="6" width="12" style="3" customWidth="1"/>
    <col min="7" max="7" width="12" style="3"/>
    <col min="8" max="8" width="10.6640625" style="3" customWidth="1"/>
    <col min="9" max="9" width="9.83203125" style="3" customWidth="1"/>
    <col min="10" max="11" width="12" style="3"/>
    <col min="12" max="12" width="11.5" style="3" customWidth="1"/>
    <col min="13" max="13" width="10.83203125" style="3" customWidth="1"/>
    <col min="14" max="14" width="11.5" style="3" customWidth="1"/>
    <col min="15" max="15" width="14.1640625" style="3" customWidth="1"/>
    <col min="16" max="16" width="12" style="3" customWidth="1"/>
    <col min="17" max="17" width="12.5" style="3" bestFit="1" customWidth="1"/>
    <col min="18" max="18" width="12" style="3"/>
    <col min="19" max="19" width="13.5" style="3" bestFit="1" customWidth="1"/>
    <col min="20" max="20" width="12" customWidth="1"/>
    <col min="21" max="21" width="12" style="3" customWidth="1"/>
    <col min="22" max="22" width="12" style="3"/>
    <col min="23" max="25" width="0" style="3" hidden="1" customWidth="1"/>
    <col min="26" max="16384" width="12" style="3"/>
  </cols>
  <sheetData>
    <row r="1" spans="1:25" s="1" customFormat="1" ht="20.100000000000001" customHeight="1" x14ac:dyDescent="0.2">
      <c r="A1" s="82">
        <f>Übersicht!A1</f>
        <v>44927</v>
      </c>
      <c r="B1" s="83"/>
      <c r="C1" s="84"/>
      <c r="D1" s="84"/>
      <c r="E1" s="84"/>
      <c r="F1" s="85" t="s">
        <v>45</v>
      </c>
      <c r="G1" s="86"/>
      <c r="H1" s="85" t="s">
        <v>2</v>
      </c>
      <c r="I1" s="85" t="s">
        <v>3</v>
      </c>
      <c r="J1" s="85" t="s">
        <v>4</v>
      </c>
      <c r="K1" s="87"/>
      <c r="L1" s="88"/>
      <c r="M1" s="88"/>
      <c r="N1" s="88"/>
      <c r="O1" s="88"/>
      <c r="P1" s="87"/>
      <c r="Q1" s="87"/>
      <c r="R1" s="87"/>
      <c r="S1" s="89" t="s">
        <v>28</v>
      </c>
      <c r="T1" s="87"/>
      <c r="U1" s="87"/>
      <c r="V1" s="66" t="s">
        <v>31</v>
      </c>
      <c r="W1" s="90"/>
      <c r="X1" s="91"/>
      <c r="Y1" s="92"/>
    </row>
    <row r="2" spans="1:25" s="7" customFormat="1" ht="20.100000000000001" customHeight="1" x14ac:dyDescent="0.2">
      <c r="A2" s="93" t="s">
        <v>33</v>
      </c>
      <c r="B2" s="18"/>
      <c r="C2" s="59" t="s">
        <v>71</v>
      </c>
      <c r="D2" s="59" t="s">
        <v>71</v>
      </c>
      <c r="E2" s="59" t="s">
        <v>73</v>
      </c>
      <c r="F2" s="59" t="s">
        <v>15</v>
      </c>
      <c r="G2" s="64"/>
      <c r="H2" s="59" t="s">
        <v>17</v>
      </c>
      <c r="I2" s="59" t="s">
        <v>18</v>
      </c>
      <c r="J2" s="59" t="s">
        <v>19</v>
      </c>
      <c r="K2" s="63" t="s">
        <v>20</v>
      </c>
      <c r="L2" s="59" t="s">
        <v>47</v>
      </c>
      <c r="M2" s="59" t="s">
        <v>22</v>
      </c>
      <c r="N2" s="59" t="s">
        <v>48</v>
      </c>
      <c r="O2" s="59" t="s">
        <v>24</v>
      </c>
      <c r="P2" s="63"/>
      <c r="Q2" s="63"/>
      <c r="R2" s="63" t="s">
        <v>27</v>
      </c>
      <c r="S2" s="65">
        <f>Übersicht!T2</f>
        <v>6.7999999999999996E-3</v>
      </c>
      <c r="T2" s="63"/>
      <c r="U2" s="63" t="s">
        <v>30</v>
      </c>
      <c r="V2" s="66" t="s">
        <v>39</v>
      </c>
      <c r="W2" s="77" t="s">
        <v>39</v>
      </c>
      <c r="X2" s="76" t="s">
        <v>66</v>
      </c>
      <c r="Y2" s="76" t="s">
        <v>66</v>
      </c>
    </row>
    <row r="3" spans="1:25" s="8" customFormat="1" ht="20.100000000000001" customHeight="1" x14ac:dyDescent="0.2">
      <c r="A3" s="94" t="s">
        <v>120</v>
      </c>
      <c r="B3" s="29" t="s">
        <v>46</v>
      </c>
      <c r="C3" s="58" t="s">
        <v>14</v>
      </c>
      <c r="D3" s="58" t="s">
        <v>104</v>
      </c>
      <c r="E3" s="58" t="s">
        <v>105</v>
      </c>
      <c r="F3" s="59" t="s">
        <v>36</v>
      </c>
      <c r="G3" s="59" t="s">
        <v>16</v>
      </c>
      <c r="H3" s="58">
        <f>1400*12</f>
        <v>16800</v>
      </c>
      <c r="I3" s="58">
        <f>Übersicht!I3</f>
        <v>2300</v>
      </c>
      <c r="J3" s="59" t="s">
        <v>14</v>
      </c>
      <c r="K3" s="67">
        <f>Übersicht!K3</f>
        <v>5.2999999999999999E-2</v>
      </c>
      <c r="L3" s="58">
        <v>148200</v>
      </c>
      <c r="M3" s="68">
        <f>Übersicht!M3</f>
        <v>1.0999999999999999E-2</v>
      </c>
      <c r="N3" s="58">
        <v>148200</v>
      </c>
      <c r="O3" s="68">
        <v>5.0000000000000001E-3</v>
      </c>
      <c r="P3" s="67" t="s">
        <v>60</v>
      </c>
      <c r="Q3" s="67" t="s">
        <v>26</v>
      </c>
      <c r="R3" s="67">
        <f>Übersicht!R3</f>
        <v>1.13653E-2</v>
      </c>
      <c r="S3" s="69">
        <f>Übersicht!T3</f>
        <v>5.45E-3</v>
      </c>
      <c r="T3" s="67" t="s">
        <v>29</v>
      </c>
      <c r="U3" s="67" t="s">
        <v>38</v>
      </c>
      <c r="V3" s="100" t="s">
        <v>68</v>
      </c>
      <c r="W3" s="101" t="s">
        <v>69</v>
      </c>
      <c r="X3" s="76" t="s">
        <v>70</v>
      </c>
      <c r="Y3" s="76" t="s">
        <v>67</v>
      </c>
    </row>
    <row r="4" spans="1:25" ht="20.100000000000001" customHeight="1" x14ac:dyDescent="0.2">
      <c r="A4" s="95" t="s">
        <v>52</v>
      </c>
      <c r="B4" s="36">
        <f>Übersicht!B2+30</f>
        <v>44957</v>
      </c>
      <c r="C4" s="30">
        <f>3500</f>
        <v>3500</v>
      </c>
      <c r="D4" s="30"/>
      <c r="E4" s="30"/>
      <c r="F4" s="30">
        <v>0</v>
      </c>
      <c r="G4" s="38">
        <f t="shared" ref="G4:G15" si="0">C4+D4+E4+F4</f>
        <v>3500</v>
      </c>
      <c r="H4" s="9">
        <f t="shared" ref="H4:H15" si="1">IF(OR(AND($A$9="w",$A$7+(64*365)&lt;B4),($A$7+(65*365)&lt;B4)),$H$3/12,0)</f>
        <v>0</v>
      </c>
      <c r="I4" s="9">
        <f t="shared" ref="I4:I15" si="2">IF($G$19&lt;$I$3+0.004,G4,0)</f>
        <v>0</v>
      </c>
      <c r="J4" s="9">
        <f t="shared" ref="J4:J15" si="3">IF($A$7+6205&gt;$A$1,0,(IF(I4&gt;0.004,(IF(G4-I4&gt;0,G4-I4,0)),(IF(G4-H4&gt;0,G4-H4,0)))))</f>
        <v>3500</v>
      </c>
      <c r="K4" s="20">
        <f t="shared" ref="K4:K15" si="4">ROUND(2*J4*$K$3,1)/2</f>
        <v>185.5</v>
      </c>
      <c r="L4" s="9">
        <f t="shared" ref="L4:L15" si="5">IF(H4&lt;0.004,IF(J4&gt;$L$3/12,$L$3/12,J4),0)</f>
        <v>3500</v>
      </c>
      <c r="M4" s="9">
        <f t="shared" ref="M4:M15" si="6">ROUND(2*L4*$M$3,1)/2</f>
        <v>38.5</v>
      </c>
      <c r="N4" s="9">
        <f t="shared" ref="N4:N15" si="7">IF(H4&lt;0.004,J4-L4,0)</f>
        <v>0</v>
      </c>
      <c r="O4" s="9">
        <f t="shared" ref="O4:O15" si="8">N4*$O$3</f>
        <v>0</v>
      </c>
      <c r="P4" s="39">
        <v>0</v>
      </c>
      <c r="Q4" s="39">
        <v>116.85</v>
      </c>
      <c r="R4" s="20">
        <f t="shared" ref="R4:R15" si="9">ROUND(((IF($A$15="ja",0,G4*$R$3))*2),1)/2</f>
        <v>39.799999999999997</v>
      </c>
      <c r="S4" s="20">
        <f t="shared" ref="S4:S15" si="10">ROUND((IF($A$9="w",(IF(H4&gt;0.004,0,(G4*$S$2))),(IF(H4&gt;0.004,0,(G4*$S$3)))))*2,1)/2</f>
        <v>23.8</v>
      </c>
      <c r="T4" s="39"/>
      <c r="U4" s="39">
        <v>0</v>
      </c>
      <c r="V4" s="144">
        <f t="shared" ref="V4:V15" si="11">C4+D4+E4-K4-M4-O4+P4-Q4-R4-S4-T4+U4</f>
        <v>3095.5499999999997</v>
      </c>
      <c r="W4" s="9"/>
      <c r="X4" s="120">
        <f t="shared" ref="X4:X15" si="12">V4-W4</f>
        <v>3095.5499999999997</v>
      </c>
      <c r="Y4" s="79">
        <f>X4</f>
        <v>3095.5499999999997</v>
      </c>
    </row>
    <row r="5" spans="1:25" ht="20.100000000000001" customHeight="1" x14ac:dyDescent="0.2">
      <c r="A5" s="96" t="s">
        <v>124</v>
      </c>
      <c r="B5" s="36">
        <f t="shared" ref="B5:B15" si="13">EDATE(B4,1)</f>
        <v>44985</v>
      </c>
      <c r="C5" s="30">
        <f>3500</f>
        <v>3500</v>
      </c>
      <c r="D5" s="30"/>
      <c r="E5" s="30"/>
      <c r="F5" s="30">
        <v>0</v>
      </c>
      <c r="G5" s="38">
        <f t="shared" si="0"/>
        <v>3500</v>
      </c>
      <c r="H5" s="9">
        <f t="shared" si="1"/>
        <v>0</v>
      </c>
      <c r="I5" s="9">
        <f t="shared" si="2"/>
        <v>0</v>
      </c>
      <c r="J5" s="9">
        <f t="shared" si="3"/>
        <v>3500</v>
      </c>
      <c r="K5" s="20">
        <f t="shared" si="4"/>
        <v>185.5</v>
      </c>
      <c r="L5" s="9">
        <f t="shared" si="5"/>
        <v>3500</v>
      </c>
      <c r="M5" s="9">
        <f t="shared" si="6"/>
        <v>38.5</v>
      </c>
      <c r="N5" s="9">
        <f t="shared" si="7"/>
        <v>0</v>
      </c>
      <c r="O5" s="9">
        <f t="shared" si="8"/>
        <v>0</v>
      </c>
      <c r="P5" s="39">
        <v>0</v>
      </c>
      <c r="Q5" s="39">
        <v>116.85</v>
      </c>
      <c r="R5" s="20">
        <f t="shared" si="9"/>
        <v>39.799999999999997</v>
      </c>
      <c r="S5" s="20">
        <f t="shared" si="10"/>
        <v>23.8</v>
      </c>
      <c r="T5" s="39"/>
      <c r="U5" s="39">
        <v>0</v>
      </c>
      <c r="V5" s="144">
        <f t="shared" si="11"/>
        <v>3095.5499999999997</v>
      </c>
      <c r="W5" s="9"/>
      <c r="X5" s="78">
        <f t="shared" si="12"/>
        <v>3095.5499999999997</v>
      </c>
      <c r="Y5" s="79">
        <f>Y4+X5</f>
        <v>6191.0999999999995</v>
      </c>
    </row>
    <row r="6" spans="1:25" ht="20.100000000000001" customHeight="1" x14ac:dyDescent="0.2">
      <c r="A6" s="95" t="s">
        <v>53</v>
      </c>
      <c r="B6" s="36">
        <f t="shared" si="13"/>
        <v>45013</v>
      </c>
      <c r="C6" s="30">
        <f>3500</f>
        <v>3500</v>
      </c>
      <c r="D6" s="30"/>
      <c r="E6" s="30"/>
      <c r="F6" s="30">
        <v>0</v>
      </c>
      <c r="G6" s="38">
        <f t="shared" si="0"/>
        <v>3500</v>
      </c>
      <c r="H6" s="9">
        <f t="shared" si="1"/>
        <v>0</v>
      </c>
      <c r="I6" s="9">
        <f t="shared" si="2"/>
        <v>0</v>
      </c>
      <c r="J6" s="9">
        <f t="shared" si="3"/>
        <v>3500</v>
      </c>
      <c r="K6" s="20">
        <f t="shared" si="4"/>
        <v>185.5</v>
      </c>
      <c r="L6" s="9">
        <f t="shared" si="5"/>
        <v>3500</v>
      </c>
      <c r="M6" s="9">
        <f t="shared" si="6"/>
        <v>38.5</v>
      </c>
      <c r="N6" s="9">
        <f t="shared" si="7"/>
        <v>0</v>
      </c>
      <c r="O6" s="9">
        <f t="shared" si="8"/>
        <v>0</v>
      </c>
      <c r="P6" s="39">
        <v>0</v>
      </c>
      <c r="Q6" s="39">
        <v>116.85</v>
      </c>
      <c r="R6" s="20">
        <f t="shared" si="9"/>
        <v>39.799999999999997</v>
      </c>
      <c r="S6" s="20">
        <f t="shared" si="10"/>
        <v>23.8</v>
      </c>
      <c r="T6" s="39"/>
      <c r="U6" s="39">
        <v>0</v>
      </c>
      <c r="V6" s="144">
        <f t="shared" si="11"/>
        <v>3095.5499999999997</v>
      </c>
      <c r="W6" s="9"/>
      <c r="X6" s="78">
        <f t="shared" si="12"/>
        <v>3095.5499999999997</v>
      </c>
      <c r="Y6" s="79">
        <f>Y5+X6</f>
        <v>9286.65</v>
      </c>
    </row>
    <row r="7" spans="1:25" ht="20.100000000000001" customHeight="1" x14ac:dyDescent="0.2">
      <c r="A7" s="97">
        <v>35064</v>
      </c>
      <c r="B7" s="36">
        <f t="shared" si="13"/>
        <v>45044</v>
      </c>
      <c r="C7" s="30">
        <f>3500</f>
        <v>3500</v>
      </c>
      <c r="D7" s="30"/>
      <c r="E7" s="30"/>
      <c r="F7" s="30">
        <v>0</v>
      </c>
      <c r="G7" s="38">
        <f t="shared" si="0"/>
        <v>3500</v>
      </c>
      <c r="H7" s="9">
        <f t="shared" si="1"/>
        <v>0</v>
      </c>
      <c r="I7" s="9">
        <f t="shared" si="2"/>
        <v>0</v>
      </c>
      <c r="J7" s="9">
        <f t="shared" si="3"/>
        <v>3500</v>
      </c>
      <c r="K7" s="20">
        <f t="shared" si="4"/>
        <v>185.5</v>
      </c>
      <c r="L7" s="9">
        <f t="shared" si="5"/>
        <v>3500</v>
      </c>
      <c r="M7" s="9">
        <f t="shared" si="6"/>
        <v>38.5</v>
      </c>
      <c r="N7" s="9">
        <f t="shared" si="7"/>
        <v>0</v>
      </c>
      <c r="O7" s="9">
        <f t="shared" si="8"/>
        <v>0</v>
      </c>
      <c r="P7" s="39">
        <v>0</v>
      </c>
      <c r="Q7" s="39">
        <v>116.85</v>
      </c>
      <c r="R7" s="20">
        <f t="shared" si="9"/>
        <v>39.799999999999997</v>
      </c>
      <c r="S7" s="20">
        <f t="shared" si="10"/>
        <v>23.8</v>
      </c>
      <c r="T7" s="39"/>
      <c r="U7" s="39">
        <v>0</v>
      </c>
      <c r="V7" s="144">
        <f t="shared" si="11"/>
        <v>3095.5499999999997</v>
      </c>
      <c r="W7" s="9"/>
      <c r="X7" s="78">
        <f t="shared" si="12"/>
        <v>3095.5499999999997</v>
      </c>
      <c r="Y7" s="79">
        <f>Y6+X7</f>
        <v>12382.199999999999</v>
      </c>
    </row>
    <row r="8" spans="1:25" ht="20.100000000000001" customHeight="1" x14ac:dyDescent="0.2">
      <c r="A8" s="95" t="s">
        <v>54</v>
      </c>
      <c r="B8" s="36">
        <f t="shared" si="13"/>
        <v>45074</v>
      </c>
      <c r="C8" s="30">
        <f>3500</f>
        <v>3500</v>
      </c>
      <c r="D8" s="30"/>
      <c r="E8" s="30"/>
      <c r="F8" s="30">
        <v>0</v>
      </c>
      <c r="G8" s="38">
        <f t="shared" si="0"/>
        <v>3500</v>
      </c>
      <c r="H8" s="9">
        <f t="shared" si="1"/>
        <v>0</v>
      </c>
      <c r="I8" s="9">
        <f t="shared" si="2"/>
        <v>0</v>
      </c>
      <c r="J8" s="9">
        <f t="shared" si="3"/>
        <v>3500</v>
      </c>
      <c r="K8" s="20">
        <f t="shared" si="4"/>
        <v>185.5</v>
      </c>
      <c r="L8" s="9">
        <f t="shared" si="5"/>
        <v>3500</v>
      </c>
      <c r="M8" s="9">
        <f t="shared" si="6"/>
        <v>38.5</v>
      </c>
      <c r="N8" s="9">
        <f t="shared" si="7"/>
        <v>0</v>
      </c>
      <c r="O8" s="9">
        <f t="shared" si="8"/>
        <v>0</v>
      </c>
      <c r="P8" s="39">
        <v>0</v>
      </c>
      <c r="Q8" s="39">
        <v>116.85</v>
      </c>
      <c r="R8" s="20">
        <f t="shared" si="9"/>
        <v>39.799999999999997</v>
      </c>
      <c r="S8" s="20">
        <f t="shared" si="10"/>
        <v>23.8</v>
      </c>
      <c r="T8" s="39"/>
      <c r="U8" s="39">
        <v>0</v>
      </c>
      <c r="V8" s="144">
        <f t="shared" si="11"/>
        <v>3095.5499999999997</v>
      </c>
      <c r="W8" s="9"/>
      <c r="X8" s="78">
        <f t="shared" si="12"/>
        <v>3095.5499999999997</v>
      </c>
      <c r="Y8" s="79">
        <f>Y7+X8</f>
        <v>15477.749999999998</v>
      </c>
    </row>
    <row r="9" spans="1:25" ht="20.100000000000001" customHeight="1" x14ac:dyDescent="0.2">
      <c r="A9" s="98" t="s">
        <v>43</v>
      </c>
      <c r="B9" s="36">
        <f t="shared" si="13"/>
        <v>45105</v>
      </c>
      <c r="C9" s="30">
        <f>3500</f>
        <v>3500</v>
      </c>
      <c r="D9" s="30"/>
      <c r="E9" s="30"/>
      <c r="F9" s="30">
        <v>0</v>
      </c>
      <c r="G9" s="38">
        <f t="shared" si="0"/>
        <v>3500</v>
      </c>
      <c r="H9" s="9">
        <f t="shared" si="1"/>
        <v>0</v>
      </c>
      <c r="I9" s="9">
        <f t="shared" si="2"/>
        <v>0</v>
      </c>
      <c r="J9" s="9">
        <f t="shared" si="3"/>
        <v>3500</v>
      </c>
      <c r="K9" s="20">
        <f t="shared" si="4"/>
        <v>185.5</v>
      </c>
      <c r="L9" s="9">
        <f t="shared" si="5"/>
        <v>3500</v>
      </c>
      <c r="M9" s="9">
        <f t="shared" si="6"/>
        <v>38.5</v>
      </c>
      <c r="N9" s="9">
        <f t="shared" si="7"/>
        <v>0</v>
      </c>
      <c r="O9" s="9">
        <f t="shared" si="8"/>
        <v>0</v>
      </c>
      <c r="P9" s="39">
        <v>0</v>
      </c>
      <c r="Q9" s="39">
        <v>116.85</v>
      </c>
      <c r="R9" s="20">
        <f t="shared" si="9"/>
        <v>39.799999999999997</v>
      </c>
      <c r="S9" s="20">
        <f t="shared" si="10"/>
        <v>23.8</v>
      </c>
      <c r="T9" s="39"/>
      <c r="U9" s="39">
        <v>0</v>
      </c>
      <c r="V9" s="144">
        <f t="shared" si="11"/>
        <v>3095.5499999999997</v>
      </c>
      <c r="W9" s="9"/>
      <c r="X9" s="78">
        <f t="shared" si="12"/>
        <v>3095.5499999999997</v>
      </c>
      <c r="Y9" s="79">
        <f t="shared" ref="Y9:Y18" si="14">ROUND((Y8+X9),1)</f>
        <v>18573.3</v>
      </c>
    </row>
    <row r="10" spans="1:25" ht="20.100000000000001" customHeight="1" x14ac:dyDescent="0.2">
      <c r="A10" s="95" t="s">
        <v>55</v>
      </c>
      <c r="B10" s="36">
        <f t="shared" si="13"/>
        <v>45135</v>
      </c>
      <c r="C10" s="30">
        <f>3500</f>
        <v>3500</v>
      </c>
      <c r="D10" s="30"/>
      <c r="E10" s="30"/>
      <c r="F10" s="30">
        <v>0</v>
      </c>
      <c r="G10" s="38">
        <f t="shared" si="0"/>
        <v>3500</v>
      </c>
      <c r="H10" s="9">
        <f t="shared" si="1"/>
        <v>0</v>
      </c>
      <c r="I10" s="9">
        <f t="shared" si="2"/>
        <v>0</v>
      </c>
      <c r="J10" s="9">
        <f t="shared" si="3"/>
        <v>3500</v>
      </c>
      <c r="K10" s="20">
        <f t="shared" si="4"/>
        <v>185.5</v>
      </c>
      <c r="L10" s="9">
        <f t="shared" si="5"/>
        <v>3500</v>
      </c>
      <c r="M10" s="9">
        <f t="shared" si="6"/>
        <v>38.5</v>
      </c>
      <c r="N10" s="9">
        <f t="shared" si="7"/>
        <v>0</v>
      </c>
      <c r="O10" s="9">
        <f t="shared" si="8"/>
        <v>0</v>
      </c>
      <c r="P10" s="39">
        <v>0</v>
      </c>
      <c r="Q10" s="39">
        <v>116.85</v>
      </c>
      <c r="R10" s="20">
        <f t="shared" si="9"/>
        <v>39.799999999999997</v>
      </c>
      <c r="S10" s="20">
        <f t="shared" si="10"/>
        <v>23.8</v>
      </c>
      <c r="T10" s="39"/>
      <c r="U10" s="39">
        <v>0</v>
      </c>
      <c r="V10" s="144">
        <f t="shared" si="11"/>
        <v>3095.5499999999997</v>
      </c>
      <c r="W10" s="9"/>
      <c r="X10" s="78">
        <f t="shared" si="12"/>
        <v>3095.5499999999997</v>
      </c>
      <c r="Y10" s="79">
        <f t="shared" si="14"/>
        <v>21668.9</v>
      </c>
    </row>
    <row r="11" spans="1:25" ht="20.100000000000001" customHeight="1" x14ac:dyDescent="0.2">
      <c r="A11" s="98"/>
      <c r="B11" s="36">
        <f t="shared" si="13"/>
        <v>45166</v>
      </c>
      <c r="C11" s="30">
        <f>3500</f>
        <v>3500</v>
      </c>
      <c r="D11" s="30"/>
      <c r="E11" s="30"/>
      <c r="F11" s="30">
        <v>0</v>
      </c>
      <c r="G11" s="38">
        <f t="shared" si="0"/>
        <v>3500</v>
      </c>
      <c r="H11" s="9">
        <f t="shared" si="1"/>
        <v>0</v>
      </c>
      <c r="I11" s="9">
        <f t="shared" si="2"/>
        <v>0</v>
      </c>
      <c r="J11" s="9">
        <f t="shared" si="3"/>
        <v>3500</v>
      </c>
      <c r="K11" s="20">
        <f t="shared" si="4"/>
        <v>185.5</v>
      </c>
      <c r="L11" s="9">
        <f t="shared" si="5"/>
        <v>3500</v>
      </c>
      <c r="M11" s="9">
        <f t="shared" si="6"/>
        <v>38.5</v>
      </c>
      <c r="N11" s="9">
        <f t="shared" si="7"/>
        <v>0</v>
      </c>
      <c r="O11" s="9">
        <f t="shared" si="8"/>
        <v>0</v>
      </c>
      <c r="P11" s="39">
        <v>0</v>
      </c>
      <c r="Q11" s="39">
        <v>116.85</v>
      </c>
      <c r="R11" s="20">
        <f t="shared" si="9"/>
        <v>39.799999999999997</v>
      </c>
      <c r="S11" s="20">
        <f t="shared" si="10"/>
        <v>23.8</v>
      </c>
      <c r="T11" s="39"/>
      <c r="U11" s="39">
        <v>0</v>
      </c>
      <c r="V11" s="144">
        <f t="shared" si="11"/>
        <v>3095.5499999999997</v>
      </c>
      <c r="W11" s="9"/>
      <c r="X11" s="78">
        <f t="shared" si="12"/>
        <v>3095.5499999999997</v>
      </c>
      <c r="Y11" s="79">
        <f t="shared" si="14"/>
        <v>24764.5</v>
      </c>
    </row>
    <row r="12" spans="1:25" ht="20.100000000000001" customHeight="1" x14ac:dyDescent="0.2">
      <c r="A12" s="95" t="s">
        <v>56</v>
      </c>
      <c r="B12" s="36">
        <f t="shared" si="13"/>
        <v>45197</v>
      </c>
      <c r="C12" s="30">
        <f>3500</f>
        <v>3500</v>
      </c>
      <c r="D12" s="30"/>
      <c r="E12" s="30"/>
      <c r="F12" s="30">
        <v>0</v>
      </c>
      <c r="G12" s="38">
        <f t="shared" si="0"/>
        <v>3500</v>
      </c>
      <c r="H12" s="9">
        <f t="shared" si="1"/>
        <v>0</v>
      </c>
      <c r="I12" s="9">
        <f t="shared" si="2"/>
        <v>0</v>
      </c>
      <c r="J12" s="9">
        <f t="shared" si="3"/>
        <v>3500</v>
      </c>
      <c r="K12" s="20">
        <f t="shared" si="4"/>
        <v>185.5</v>
      </c>
      <c r="L12" s="9">
        <f t="shared" si="5"/>
        <v>3500</v>
      </c>
      <c r="M12" s="9">
        <f t="shared" si="6"/>
        <v>38.5</v>
      </c>
      <c r="N12" s="9">
        <f t="shared" si="7"/>
        <v>0</v>
      </c>
      <c r="O12" s="9">
        <f t="shared" si="8"/>
        <v>0</v>
      </c>
      <c r="P12" s="39">
        <v>0</v>
      </c>
      <c r="Q12" s="39">
        <v>116.85</v>
      </c>
      <c r="R12" s="20">
        <f t="shared" si="9"/>
        <v>39.799999999999997</v>
      </c>
      <c r="S12" s="20">
        <f t="shared" si="10"/>
        <v>23.8</v>
      </c>
      <c r="T12" s="39"/>
      <c r="U12" s="39">
        <v>0</v>
      </c>
      <c r="V12" s="144">
        <f t="shared" si="11"/>
        <v>3095.5499999999997</v>
      </c>
      <c r="W12" s="9"/>
      <c r="X12" s="78">
        <f t="shared" si="12"/>
        <v>3095.5499999999997</v>
      </c>
      <c r="Y12" s="79">
        <f t="shared" si="14"/>
        <v>27860.1</v>
      </c>
    </row>
    <row r="13" spans="1:25" ht="20.100000000000001" customHeight="1" x14ac:dyDescent="0.2">
      <c r="A13" s="98"/>
      <c r="B13" s="36">
        <f t="shared" si="13"/>
        <v>45227</v>
      </c>
      <c r="C13" s="30">
        <f>3500</f>
        <v>3500</v>
      </c>
      <c r="D13" s="30"/>
      <c r="E13" s="30"/>
      <c r="F13" s="30">
        <v>0</v>
      </c>
      <c r="G13" s="38">
        <f t="shared" si="0"/>
        <v>3500</v>
      </c>
      <c r="H13" s="9">
        <f t="shared" si="1"/>
        <v>0</v>
      </c>
      <c r="I13" s="9">
        <f t="shared" si="2"/>
        <v>0</v>
      </c>
      <c r="J13" s="9">
        <f t="shared" si="3"/>
        <v>3500</v>
      </c>
      <c r="K13" s="20">
        <f t="shared" si="4"/>
        <v>185.5</v>
      </c>
      <c r="L13" s="9">
        <f t="shared" si="5"/>
        <v>3500</v>
      </c>
      <c r="M13" s="9">
        <f t="shared" si="6"/>
        <v>38.5</v>
      </c>
      <c r="N13" s="9">
        <f t="shared" si="7"/>
        <v>0</v>
      </c>
      <c r="O13" s="9">
        <f t="shared" si="8"/>
        <v>0</v>
      </c>
      <c r="P13" s="39">
        <v>0</v>
      </c>
      <c r="Q13" s="39">
        <v>116.85</v>
      </c>
      <c r="R13" s="20">
        <f t="shared" si="9"/>
        <v>39.799999999999997</v>
      </c>
      <c r="S13" s="20">
        <f t="shared" si="10"/>
        <v>23.8</v>
      </c>
      <c r="T13" s="39"/>
      <c r="U13" s="39">
        <v>0</v>
      </c>
      <c r="V13" s="144">
        <f t="shared" si="11"/>
        <v>3095.5499999999997</v>
      </c>
      <c r="W13" s="9"/>
      <c r="X13" s="78">
        <f t="shared" si="12"/>
        <v>3095.5499999999997</v>
      </c>
      <c r="Y13" s="79">
        <f t="shared" si="14"/>
        <v>30955.7</v>
      </c>
    </row>
    <row r="14" spans="1:25" ht="20.100000000000001" customHeight="1" x14ac:dyDescent="0.2">
      <c r="A14" s="95" t="s">
        <v>49</v>
      </c>
      <c r="B14" s="36">
        <f t="shared" si="13"/>
        <v>45258</v>
      </c>
      <c r="C14" s="30">
        <f>3500</f>
        <v>3500</v>
      </c>
      <c r="D14" s="30"/>
      <c r="E14" s="30"/>
      <c r="F14" s="30">
        <v>0</v>
      </c>
      <c r="G14" s="38">
        <f t="shared" si="0"/>
        <v>3500</v>
      </c>
      <c r="H14" s="9">
        <f t="shared" si="1"/>
        <v>0</v>
      </c>
      <c r="I14" s="9">
        <f t="shared" si="2"/>
        <v>0</v>
      </c>
      <c r="J14" s="9">
        <f t="shared" si="3"/>
        <v>3500</v>
      </c>
      <c r="K14" s="20">
        <f t="shared" si="4"/>
        <v>185.5</v>
      </c>
      <c r="L14" s="9">
        <f t="shared" si="5"/>
        <v>3500</v>
      </c>
      <c r="M14" s="9">
        <f t="shared" si="6"/>
        <v>38.5</v>
      </c>
      <c r="N14" s="9">
        <f t="shared" si="7"/>
        <v>0</v>
      </c>
      <c r="O14" s="9">
        <f t="shared" si="8"/>
        <v>0</v>
      </c>
      <c r="P14" s="39">
        <v>0</v>
      </c>
      <c r="Q14" s="39">
        <v>116.85</v>
      </c>
      <c r="R14" s="20">
        <f t="shared" si="9"/>
        <v>39.799999999999997</v>
      </c>
      <c r="S14" s="20">
        <f t="shared" si="10"/>
        <v>23.8</v>
      </c>
      <c r="T14" s="39"/>
      <c r="U14" s="39">
        <v>0</v>
      </c>
      <c r="V14" s="144">
        <f t="shared" si="11"/>
        <v>3095.5499999999997</v>
      </c>
      <c r="W14" s="9"/>
      <c r="X14" s="78">
        <f t="shared" si="12"/>
        <v>3095.5499999999997</v>
      </c>
      <c r="Y14" s="79">
        <f t="shared" si="14"/>
        <v>34051.300000000003</v>
      </c>
    </row>
    <row r="15" spans="1:25" ht="20.100000000000001" customHeight="1" x14ac:dyDescent="0.2">
      <c r="A15" s="98" t="s">
        <v>50</v>
      </c>
      <c r="B15" s="36">
        <f t="shared" si="13"/>
        <v>45288</v>
      </c>
      <c r="C15" s="30">
        <f>3500</f>
        <v>3500</v>
      </c>
      <c r="D15" s="30">
        <f>AVERAGE(C4:C15)</f>
        <v>3500</v>
      </c>
      <c r="E15" s="30"/>
      <c r="F15" s="30">
        <v>0</v>
      </c>
      <c r="G15" s="38">
        <f t="shared" si="0"/>
        <v>7000</v>
      </c>
      <c r="H15" s="9">
        <f t="shared" si="1"/>
        <v>0</v>
      </c>
      <c r="I15" s="9">
        <f t="shared" si="2"/>
        <v>0</v>
      </c>
      <c r="J15" s="9">
        <f t="shared" si="3"/>
        <v>7000</v>
      </c>
      <c r="K15" s="20">
        <f t="shared" si="4"/>
        <v>371</v>
      </c>
      <c r="L15" s="38">
        <f t="shared" si="5"/>
        <v>7000</v>
      </c>
      <c r="M15" s="9">
        <f t="shared" si="6"/>
        <v>77</v>
      </c>
      <c r="N15" s="9">
        <f t="shared" si="7"/>
        <v>0</v>
      </c>
      <c r="O15" s="9">
        <f t="shared" si="8"/>
        <v>0</v>
      </c>
      <c r="P15" s="39">
        <v>0</v>
      </c>
      <c r="Q15" s="39">
        <v>116.85</v>
      </c>
      <c r="R15" s="20">
        <f t="shared" si="9"/>
        <v>79.55</v>
      </c>
      <c r="S15" s="20">
        <f t="shared" si="10"/>
        <v>47.6</v>
      </c>
      <c r="T15" s="39"/>
      <c r="U15" s="39">
        <v>0</v>
      </c>
      <c r="V15" s="144">
        <f t="shared" si="11"/>
        <v>6307.9999999999991</v>
      </c>
      <c r="W15" s="9"/>
      <c r="X15" s="78">
        <f t="shared" si="12"/>
        <v>6307.9999999999991</v>
      </c>
      <c r="Y15" s="79">
        <f t="shared" si="14"/>
        <v>40359.300000000003</v>
      </c>
    </row>
    <row r="16" spans="1:25" ht="20.100000000000001" customHeight="1" x14ac:dyDescent="0.2">
      <c r="A16" s="95" t="s">
        <v>57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9"/>
      <c r="X16" s="78" t="e">
        <f>#REF!-W16</f>
        <v>#REF!</v>
      </c>
      <c r="Y16" s="79" t="e">
        <f t="shared" si="14"/>
        <v>#REF!</v>
      </c>
    </row>
    <row r="17" spans="1:25" ht="20.100000000000001" customHeight="1" x14ac:dyDescent="0.2">
      <c r="A17" s="97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20"/>
      <c r="X17" s="78">
        <f>V17-W17</f>
        <v>0</v>
      </c>
      <c r="Y17" s="79" t="e">
        <f t="shared" si="14"/>
        <v>#REF!</v>
      </c>
    </row>
    <row r="18" spans="1:25" ht="20.100000000000001" customHeight="1" x14ac:dyDescent="0.2">
      <c r="A18" s="95" t="s">
        <v>58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04"/>
      <c r="X18" s="80">
        <f>V18-W18</f>
        <v>0</v>
      </c>
      <c r="Y18" s="81" t="e">
        <f t="shared" si="14"/>
        <v>#REF!</v>
      </c>
    </row>
    <row r="19" spans="1:25" s="56" customFormat="1" ht="20.100000000000001" customHeight="1" x14ac:dyDescent="0.2">
      <c r="A19" s="99"/>
      <c r="B19" s="37"/>
      <c r="C19" s="55">
        <f t="shared" ref="C19:W19" si="15">SUM(C4:C18)</f>
        <v>42000</v>
      </c>
      <c r="D19" s="55">
        <f t="shared" si="15"/>
        <v>3500</v>
      </c>
      <c r="E19" s="55">
        <f t="shared" si="15"/>
        <v>0</v>
      </c>
      <c r="F19" s="55">
        <f t="shared" si="15"/>
        <v>0</v>
      </c>
      <c r="G19" s="55">
        <f t="shared" si="15"/>
        <v>45500</v>
      </c>
      <c r="H19" s="55">
        <f t="shared" si="15"/>
        <v>0</v>
      </c>
      <c r="I19" s="55">
        <f t="shared" si="15"/>
        <v>0</v>
      </c>
      <c r="J19" s="55">
        <f t="shared" si="15"/>
        <v>45500</v>
      </c>
      <c r="K19" s="106">
        <f t="shared" si="15"/>
        <v>2411.5</v>
      </c>
      <c r="L19" s="55">
        <f t="shared" si="15"/>
        <v>45500</v>
      </c>
      <c r="M19" s="55">
        <f t="shared" si="15"/>
        <v>500.5</v>
      </c>
      <c r="N19" s="55">
        <f t="shared" si="15"/>
        <v>0</v>
      </c>
      <c r="O19" s="55">
        <f t="shared" si="15"/>
        <v>0</v>
      </c>
      <c r="P19" s="55">
        <f t="shared" si="15"/>
        <v>0</v>
      </c>
      <c r="Q19" s="55">
        <f t="shared" si="15"/>
        <v>1402.1999999999998</v>
      </c>
      <c r="R19" s="55">
        <f t="shared" si="15"/>
        <v>517.35</v>
      </c>
      <c r="S19" s="55">
        <f t="shared" si="15"/>
        <v>309.40000000000009</v>
      </c>
      <c r="T19" s="55">
        <f t="shared" si="15"/>
        <v>0</v>
      </c>
      <c r="U19" s="55">
        <f t="shared" si="15"/>
        <v>0</v>
      </c>
      <c r="V19" s="55">
        <f t="shared" si="15"/>
        <v>40359.049999999996</v>
      </c>
      <c r="W19" s="55">
        <f t="shared" si="15"/>
        <v>0</v>
      </c>
      <c r="X19" s="55" t="e">
        <f t="shared" ref="X19" si="16">SUM(X4:X18)</f>
        <v>#REF!</v>
      </c>
      <c r="Y19" s="55"/>
    </row>
    <row r="20" spans="1:25" ht="20.100000000000001" customHeight="1" x14ac:dyDescent="0.2">
      <c r="A20" s="155"/>
      <c r="B20" s="156" t="s">
        <v>88</v>
      </c>
      <c r="C20" s="157" t="s">
        <v>89</v>
      </c>
      <c r="D20" s="157"/>
      <c r="E20" s="157" t="s">
        <v>90</v>
      </c>
      <c r="F20" s="157" t="s">
        <v>91</v>
      </c>
      <c r="G20" s="157" t="s">
        <v>92</v>
      </c>
      <c r="H20" s="157"/>
      <c r="I20" s="157"/>
      <c r="J20" s="157"/>
      <c r="K20" s="157" t="s">
        <v>103</v>
      </c>
      <c r="L20" s="155"/>
      <c r="M20" s="157" t="s">
        <v>103</v>
      </c>
      <c r="N20" s="157"/>
      <c r="O20" s="157" t="s">
        <v>103</v>
      </c>
      <c r="P20" s="157"/>
      <c r="Q20" s="157"/>
      <c r="R20" s="157" t="s">
        <v>103</v>
      </c>
      <c r="S20" s="157"/>
      <c r="T20" s="158"/>
      <c r="U20" s="159"/>
      <c r="V20" s="157"/>
      <c r="W20" s="142">
        <f>W19+T19+S19+F19</f>
        <v>309.40000000000009</v>
      </c>
      <c r="X20" s="125"/>
      <c r="Y20" s="142">
        <f>Y19+V19+U19+H19</f>
        <v>40359.049999999996</v>
      </c>
    </row>
    <row r="21" spans="1:25" ht="20.100000000000001" customHeight="1" x14ac:dyDescent="0.2">
      <c r="F21" s="9"/>
      <c r="G21" s="9"/>
      <c r="H21" s="9"/>
      <c r="I21" s="9"/>
      <c r="J21" s="9"/>
      <c r="K21" s="9"/>
      <c r="L21" s="9"/>
      <c r="M21" s="9"/>
      <c r="N21" s="9"/>
      <c r="O21" s="30"/>
      <c r="P21" s="9"/>
      <c r="Q21" s="9"/>
      <c r="R21" s="9"/>
      <c r="S21" s="9"/>
      <c r="U21" s="9"/>
      <c r="V21" s="9"/>
    </row>
    <row r="22" spans="1:25" ht="20.100000000000001" customHeight="1" x14ac:dyDescent="0.2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U22" s="9"/>
      <c r="V22" s="9"/>
    </row>
    <row r="23" spans="1:25" ht="20.100000000000001" customHeight="1" x14ac:dyDescent="0.2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U23" s="9"/>
      <c r="V23" s="9"/>
    </row>
    <row r="24" spans="1:25" ht="20.100000000000001" customHeight="1" x14ac:dyDescent="0.2">
      <c r="B24" s="34"/>
    </row>
    <row r="25" spans="1:25" ht="20.100000000000001" customHeight="1" x14ac:dyDescent="0.2">
      <c r="B25" s="34"/>
      <c r="N25" s="9"/>
      <c r="O25" s="9"/>
    </row>
    <row r="26" spans="1:25" ht="20.100000000000001" customHeight="1" x14ac:dyDescent="0.2">
      <c r="A26" s="27"/>
      <c r="B26" s="35"/>
    </row>
    <row r="27" spans="1:25" ht="20.100000000000001" customHeight="1" x14ac:dyDescent="0.2">
      <c r="A27" s="27"/>
      <c r="N27" s="9"/>
      <c r="O27" s="9"/>
    </row>
    <row r="28" spans="1:25" ht="20.100000000000001" customHeight="1" x14ac:dyDescent="0.2">
      <c r="A28" s="33"/>
    </row>
    <row r="29" spans="1:25" ht="20.100000000000001" customHeight="1" x14ac:dyDescent="0.2">
      <c r="N29" s="9"/>
      <c r="O29" s="9"/>
    </row>
    <row r="31" spans="1:25" ht="20.100000000000001" customHeight="1" x14ac:dyDescent="0.3">
      <c r="B31" s="32"/>
      <c r="N31" s="9"/>
      <c r="O31" s="9"/>
    </row>
    <row r="33" spans="14:15" ht="20.100000000000001" customHeight="1" x14ac:dyDescent="0.2">
      <c r="N33" s="9"/>
      <c r="O33" s="9"/>
    </row>
    <row r="35" spans="14:15" ht="20.100000000000001" customHeight="1" x14ac:dyDescent="0.2">
      <c r="N35" s="9"/>
      <c r="O35" s="9"/>
    </row>
    <row r="37" spans="14:15" ht="20.100000000000001" customHeight="1" x14ac:dyDescent="0.2">
      <c r="N37" s="9"/>
      <c r="O37" s="9"/>
    </row>
    <row r="39" spans="14:15" ht="20.100000000000001" customHeight="1" x14ac:dyDescent="0.2">
      <c r="N39" s="9"/>
      <c r="O39" s="9"/>
    </row>
  </sheetData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Header>&amp;L&amp;18&amp;K02-047Surtec Suisse GmbH&amp;R&amp;18&amp;K02-047Lohnblatt</oddHeader>
    <oddFooter>&amp;L&amp;10&amp;K02-046Surtec Suisse GmbH&amp;C&amp;"-,Kursiv"&amp;8&amp;K02-048&amp;Z&amp;F&amp;A&amp;R&amp;10&amp;K02-047&amp;P/&amp;N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48AF-9081-4216-B10A-50AE127B322A}">
  <sheetPr>
    <tabColor rgb="FF92D050"/>
    <pageSetUpPr fitToPage="1"/>
  </sheetPr>
  <dimension ref="A1:W42"/>
  <sheetViews>
    <sheetView topLeftCell="C1" zoomScaleNormal="100" workbookViewId="0">
      <pane ySplit="4" topLeftCell="A5" activePane="bottomLeft" state="frozen"/>
      <selection pane="bottomLeft" activeCell="W5" sqref="W5"/>
    </sheetView>
  </sheetViews>
  <sheetFormatPr baseColWidth="10" defaultColWidth="12" defaultRowHeight="20.100000000000001" customHeight="1" x14ac:dyDescent="0.2"/>
  <cols>
    <col min="1" max="1" width="30.1640625" style="7" customWidth="1"/>
    <col min="2" max="2" width="14.5" style="27" bestFit="1" customWidth="1"/>
    <col min="3" max="5" width="12" style="9"/>
    <col min="6" max="7" width="12" style="3"/>
    <col min="8" max="8" width="10.6640625" style="3" bestFit="1" customWidth="1"/>
    <col min="9" max="9" width="9.1640625" style="3" bestFit="1" customWidth="1"/>
    <col min="10" max="11" width="12" style="3"/>
    <col min="12" max="12" width="11.5" style="3" bestFit="1" customWidth="1"/>
    <col min="13" max="13" width="10.1640625" style="3" bestFit="1" customWidth="1"/>
    <col min="14" max="14" width="11.5" style="3" bestFit="1" customWidth="1"/>
    <col min="15" max="15" width="14.1640625" style="3" bestFit="1" customWidth="1"/>
    <col min="16" max="16" width="12" style="3"/>
    <col min="17" max="17" width="12.5" style="3" bestFit="1" customWidth="1"/>
    <col min="18" max="19" width="12" style="3"/>
    <col min="20" max="20" width="13.5" style="3" bestFit="1" customWidth="1"/>
    <col min="22" max="16384" width="12" style="3"/>
  </cols>
  <sheetData>
    <row r="1" spans="1:23" s="1" customFormat="1" ht="20.100000000000001" customHeight="1" x14ac:dyDescent="0.2">
      <c r="A1" s="47">
        <f>Übersicht!A1</f>
        <v>44927</v>
      </c>
      <c r="B1" s="132" t="s">
        <v>94</v>
      </c>
      <c r="C1" s="133"/>
      <c r="D1" s="133"/>
      <c r="E1" s="133"/>
      <c r="F1" s="133" t="s">
        <v>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spans="1:23" s="1" customFormat="1" ht="20.100000000000001" customHeight="1" x14ac:dyDescent="0.2">
      <c r="A2" s="47"/>
      <c r="B2" s="19"/>
      <c r="C2" s="58"/>
      <c r="D2" s="58"/>
      <c r="E2" s="58"/>
      <c r="F2" s="59" t="s">
        <v>45</v>
      </c>
      <c r="G2" s="60"/>
      <c r="H2" s="59" t="s">
        <v>2</v>
      </c>
      <c r="I2" s="59" t="s">
        <v>3</v>
      </c>
      <c r="J2" s="59" t="s">
        <v>4</v>
      </c>
      <c r="K2" s="61"/>
      <c r="L2" s="62"/>
      <c r="M2" s="62"/>
      <c r="N2" s="62"/>
      <c r="O2" s="62"/>
      <c r="P2" s="61"/>
      <c r="Q2" s="61"/>
      <c r="R2" s="61"/>
      <c r="S2" s="61"/>
      <c r="T2" s="63" t="s">
        <v>28</v>
      </c>
      <c r="U2" s="61"/>
      <c r="V2" s="61"/>
      <c r="W2" s="61" t="s">
        <v>68</v>
      </c>
    </row>
    <row r="3" spans="1:23" s="7" customFormat="1" ht="20.100000000000001" customHeight="1" x14ac:dyDescent="0.2">
      <c r="A3" s="48" t="s">
        <v>33</v>
      </c>
      <c r="B3" s="18"/>
      <c r="C3" s="59" t="s">
        <v>71</v>
      </c>
      <c r="D3" s="59" t="s">
        <v>71</v>
      </c>
      <c r="E3" s="59" t="s">
        <v>73</v>
      </c>
      <c r="F3" s="59" t="s">
        <v>15</v>
      </c>
      <c r="G3" s="64"/>
      <c r="H3" s="59" t="s">
        <v>17</v>
      </c>
      <c r="I3" s="59" t="s">
        <v>18</v>
      </c>
      <c r="J3" s="59" t="s">
        <v>19</v>
      </c>
      <c r="K3" s="63" t="s">
        <v>20</v>
      </c>
      <c r="L3" s="59" t="s">
        <v>47</v>
      </c>
      <c r="M3" s="59" t="s">
        <v>22</v>
      </c>
      <c r="N3" s="59" t="s">
        <v>48</v>
      </c>
      <c r="O3" s="59" t="s">
        <v>24</v>
      </c>
      <c r="P3" s="63"/>
      <c r="Q3" s="63"/>
      <c r="R3" s="63" t="s">
        <v>27</v>
      </c>
      <c r="S3" s="63" t="s">
        <v>74</v>
      </c>
      <c r="T3" s="65">
        <f>Übersicht!T2</f>
        <v>6.7999999999999996E-3</v>
      </c>
      <c r="U3" s="63"/>
      <c r="V3" s="63" t="s">
        <v>30</v>
      </c>
      <c r="W3" s="66" t="s">
        <v>31</v>
      </c>
    </row>
    <row r="4" spans="1:23" s="8" customFormat="1" ht="20.100000000000001" customHeight="1" x14ac:dyDescent="0.2">
      <c r="A4" s="50" t="s">
        <v>119</v>
      </c>
      <c r="B4" s="29" t="s">
        <v>46</v>
      </c>
      <c r="C4" s="58" t="s">
        <v>14</v>
      </c>
      <c r="D4" s="58" t="s">
        <v>127</v>
      </c>
      <c r="E4" s="58" t="s">
        <v>14</v>
      </c>
      <c r="F4" s="59" t="s">
        <v>36</v>
      </c>
      <c r="G4" s="59" t="s">
        <v>16</v>
      </c>
      <c r="H4" s="58">
        <f>1400*12</f>
        <v>16800</v>
      </c>
      <c r="I4" s="58">
        <f>Übersicht!I3</f>
        <v>2300</v>
      </c>
      <c r="J4" s="59" t="s">
        <v>14</v>
      </c>
      <c r="K4" s="67">
        <f>Übersicht!K3</f>
        <v>5.2999999999999999E-2</v>
      </c>
      <c r="L4" s="58">
        <v>148200</v>
      </c>
      <c r="M4" s="68">
        <v>1.0999999999999999E-2</v>
      </c>
      <c r="N4" s="58">
        <v>148200</v>
      </c>
      <c r="O4" s="68">
        <v>5.0000000000000001E-3</v>
      </c>
      <c r="P4" s="67" t="s">
        <v>60</v>
      </c>
      <c r="Q4" s="67" t="s">
        <v>26</v>
      </c>
      <c r="R4" s="67">
        <f>Übersicht!R3</f>
        <v>1.13653E-2</v>
      </c>
      <c r="S4" s="67">
        <v>6.5312E-3</v>
      </c>
      <c r="T4" s="69">
        <f>Übersicht!T3</f>
        <v>5.45E-3</v>
      </c>
      <c r="U4" s="67" t="s">
        <v>29</v>
      </c>
      <c r="V4" s="67" t="s">
        <v>38</v>
      </c>
      <c r="W4" s="70" t="s">
        <v>39</v>
      </c>
    </row>
    <row r="5" spans="1:23" ht="20.100000000000001" customHeight="1" x14ac:dyDescent="0.2">
      <c r="A5" s="49" t="s">
        <v>52</v>
      </c>
      <c r="B5" s="41">
        <f>Übersicht!B2+30</f>
        <v>44957</v>
      </c>
      <c r="C5" s="30">
        <f>9000</f>
        <v>9000</v>
      </c>
      <c r="D5" s="30"/>
      <c r="E5" s="30"/>
      <c r="F5" s="30">
        <f>ROUND(92790/1.077*0.9/100,2)</f>
        <v>775.4</v>
      </c>
      <c r="G5" s="42">
        <f>C5+E5+F5</f>
        <v>9775.4</v>
      </c>
      <c r="H5" s="43">
        <f>IF(OR(AND($A$10="w",$A$8+(64*365)&lt;B5),($A$8+(65*365)&lt;B5)),$H$4/12,0)</f>
        <v>0</v>
      </c>
      <c r="I5" s="43">
        <f t="shared" ref="I5:I19" si="0">IF($G$20&lt;$I$4+0.004,G5,0)</f>
        <v>0</v>
      </c>
      <c r="J5" s="43">
        <f>IF($A$8+6205&gt;$A$1,0,(IF(I5&gt;0.004,(IF(G5-I5&gt;0,G5-I5,0)),(IF(G5-H5&gt;0,G5-H5,0)))))</f>
        <v>9775.4</v>
      </c>
      <c r="K5" s="44">
        <f>ROUND(2*J5*$K$4,1)/2</f>
        <v>518.1</v>
      </c>
      <c r="L5" s="43">
        <f>IF(H5&lt;0.004,IF(J5&gt;$L$4/12,$L$4/12,J5),0)</f>
        <v>9775.4</v>
      </c>
      <c r="M5" s="43">
        <f>ROUND(2*L5*$M$4,1)/2</f>
        <v>107.55</v>
      </c>
      <c r="N5" s="43">
        <f t="shared" ref="N5:N16" si="1">IF(H5&lt;0.004,J5-L5,0)</f>
        <v>0</v>
      </c>
      <c r="O5" s="43">
        <f>N5*$O$4</f>
        <v>0</v>
      </c>
      <c r="P5" s="39">
        <v>0</v>
      </c>
      <c r="Q5" s="39">
        <v>937.95</v>
      </c>
      <c r="R5" s="44">
        <f>ROUND((IF($A$16="ja",0,ROUND(G5*$R$4,2)))*2,1)/2</f>
        <v>111.1</v>
      </c>
      <c r="S5" s="44"/>
      <c r="T5" s="44">
        <f>ROUND((IF($A$10="w",(IF(H5&gt;0.004,0,(G5*$T$3))),(IF(H5&gt;0.004,0,(G5*$T$4)))))*2,1)/2</f>
        <v>53.3</v>
      </c>
      <c r="U5" s="39">
        <v>0</v>
      </c>
      <c r="V5" s="39">
        <v>770</v>
      </c>
      <c r="W5" s="121">
        <f t="shared" ref="W5:W9" si="2">C5+E5-K5-M5-O5+P5-Q5-R5-S5-T5-U5+V5</f>
        <v>8042</v>
      </c>
    </row>
    <row r="6" spans="1:23" ht="20.100000000000001" customHeight="1" x14ac:dyDescent="0.2">
      <c r="A6" s="51" t="s">
        <v>123</v>
      </c>
      <c r="B6" s="36">
        <f t="shared" ref="B6:B16" si="3">EDATE(B5,1)</f>
        <v>44985</v>
      </c>
      <c r="C6" s="30">
        <f>9000</f>
        <v>9000</v>
      </c>
      <c r="D6" s="30"/>
      <c r="E6" s="30"/>
      <c r="F6" s="30">
        <f t="shared" ref="F6:F16" si="4">ROUND(92790/1.077*0.9/100,2)</f>
        <v>775.4</v>
      </c>
      <c r="G6" s="42">
        <f t="shared" ref="G6:G18" si="5">C6+E6+F6</f>
        <v>9775.4</v>
      </c>
      <c r="H6" s="9">
        <f t="shared" ref="H6:H16" si="6">IF(OR(AND($A$10="w",$A$8+(64*365)&lt;B6),($A$8+(65*365)&lt;B6)),$H$4/12,0)</f>
        <v>0</v>
      </c>
      <c r="I6" s="9">
        <f t="shared" si="0"/>
        <v>0</v>
      </c>
      <c r="J6" s="9">
        <f>IF($A$8+6205&gt;$A$1,0,(IF(I6&gt;0.004,(IF(G6-I6&gt;0,G6-I6,0)),(IF(G6-H6&gt;0,G6-H6,0)))))</f>
        <v>9775.4</v>
      </c>
      <c r="K6" s="44">
        <f t="shared" ref="K6:K19" si="7">ROUND(2*J6*$K$4,1)/2</f>
        <v>518.1</v>
      </c>
      <c r="L6" s="9">
        <f>IF(H6&lt;0.004,IF(J6&gt;$L$4/12,$L$4/12,J6),0)</f>
        <v>9775.4</v>
      </c>
      <c r="M6" s="43">
        <f t="shared" ref="M6:M19" si="8">ROUND(2*L6*$M$4,1)/2</f>
        <v>107.55</v>
      </c>
      <c r="N6" s="9">
        <f t="shared" si="1"/>
        <v>0</v>
      </c>
      <c r="O6" s="9">
        <f t="shared" ref="O6:O19" si="9">N6*$O$4</f>
        <v>0</v>
      </c>
      <c r="P6" s="39">
        <v>0</v>
      </c>
      <c r="Q6" s="39">
        <v>937.95</v>
      </c>
      <c r="R6" s="44">
        <f t="shared" ref="R6:R19" si="10">ROUND((IF($A$16="ja",0,ROUND(G6*$R$4,2)))*2,1)/2</f>
        <v>111.1</v>
      </c>
      <c r="S6" s="44"/>
      <c r="T6" s="44">
        <f t="shared" ref="T6:T19" si="11">ROUND((IF($A$10="w",(IF(H6&gt;0.004,0,(G6*$T$3))),(IF(H6&gt;0.004,0,(G6*$T$4)))))*2,1)/2</f>
        <v>53.3</v>
      </c>
      <c r="U6" s="39">
        <v>0</v>
      </c>
      <c r="V6" s="39">
        <v>770</v>
      </c>
      <c r="W6" s="121">
        <f t="shared" si="2"/>
        <v>8042</v>
      </c>
    </row>
    <row r="7" spans="1:23" ht="20.100000000000001" customHeight="1" x14ac:dyDescent="0.2">
      <c r="A7" s="49" t="s">
        <v>53</v>
      </c>
      <c r="B7" s="41">
        <f t="shared" si="3"/>
        <v>45013</v>
      </c>
      <c r="C7" s="30">
        <f>9000</f>
        <v>9000</v>
      </c>
      <c r="D7" s="30"/>
      <c r="E7" s="30"/>
      <c r="F7" s="30">
        <f t="shared" si="4"/>
        <v>775.4</v>
      </c>
      <c r="G7" s="42">
        <f t="shared" si="5"/>
        <v>9775.4</v>
      </c>
      <c r="H7" s="43">
        <f t="shared" si="6"/>
        <v>0</v>
      </c>
      <c r="I7" s="43">
        <f t="shared" si="0"/>
        <v>0</v>
      </c>
      <c r="J7" s="43">
        <f t="shared" ref="J7:J19" si="12">IF($A$8+6205&gt;$A$1,0,(IF(I7&gt;0.004,(IF(G7-I7&gt;0,G7-I7,0)),(IF(G7-H7&gt;0,G7-H7,0)))))</f>
        <v>9775.4</v>
      </c>
      <c r="K7" s="44">
        <f t="shared" si="7"/>
        <v>518.1</v>
      </c>
      <c r="L7" s="43">
        <f>IF(H7&lt;0.004,IF(J7&gt;$L$4/12,$L$4/12,J7),0)</f>
        <v>9775.4</v>
      </c>
      <c r="M7" s="43">
        <f t="shared" si="8"/>
        <v>107.55</v>
      </c>
      <c r="N7" s="43">
        <f t="shared" si="1"/>
        <v>0</v>
      </c>
      <c r="O7" s="43">
        <f t="shared" si="9"/>
        <v>0</v>
      </c>
      <c r="P7" s="39">
        <v>0</v>
      </c>
      <c r="Q7" s="39">
        <v>937.95</v>
      </c>
      <c r="R7" s="44">
        <f t="shared" si="10"/>
        <v>111.1</v>
      </c>
      <c r="S7" s="44"/>
      <c r="T7" s="44">
        <f t="shared" si="11"/>
        <v>53.3</v>
      </c>
      <c r="U7" s="39">
        <v>0</v>
      </c>
      <c r="V7" s="39">
        <v>770</v>
      </c>
      <c r="W7" s="121">
        <f t="shared" si="2"/>
        <v>8042</v>
      </c>
    </row>
    <row r="8" spans="1:23" ht="20.100000000000001" customHeight="1" x14ac:dyDescent="0.2">
      <c r="A8" s="52">
        <v>24288</v>
      </c>
      <c r="B8" s="36">
        <f t="shared" si="3"/>
        <v>45044</v>
      </c>
      <c r="C8" s="30">
        <f>9000</f>
        <v>9000</v>
      </c>
      <c r="D8" s="30"/>
      <c r="E8" s="30"/>
      <c r="F8" s="30">
        <f t="shared" si="4"/>
        <v>775.4</v>
      </c>
      <c r="G8" s="42">
        <f t="shared" si="5"/>
        <v>9775.4</v>
      </c>
      <c r="H8" s="9">
        <f t="shared" si="6"/>
        <v>0</v>
      </c>
      <c r="I8" s="9">
        <f t="shared" si="0"/>
        <v>0</v>
      </c>
      <c r="J8" s="9">
        <f t="shared" si="12"/>
        <v>9775.4</v>
      </c>
      <c r="K8" s="44">
        <f t="shared" si="7"/>
        <v>518.1</v>
      </c>
      <c r="L8" s="9">
        <f>IF(H8&lt;0.004,IF(J8&gt;$L$4/12,$L$4/12,J8),0)</f>
        <v>9775.4</v>
      </c>
      <c r="M8" s="43">
        <f t="shared" si="8"/>
        <v>107.55</v>
      </c>
      <c r="N8" s="9">
        <f t="shared" si="1"/>
        <v>0</v>
      </c>
      <c r="O8" s="9">
        <f t="shared" si="9"/>
        <v>0</v>
      </c>
      <c r="P8" s="39">
        <v>0</v>
      </c>
      <c r="Q8" s="39">
        <v>937.95</v>
      </c>
      <c r="R8" s="44">
        <f t="shared" si="10"/>
        <v>111.1</v>
      </c>
      <c r="S8" s="44"/>
      <c r="T8" s="44">
        <f t="shared" si="11"/>
        <v>53.3</v>
      </c>
      <c r="U8" s="39">
        <v>0</v>
      </c>
      <c r="V8" s="39">
        <v>770</v>
      </c>
      <c r="W8" s="121">
        <f t="shared" si="2"/>
        <v>8042</v>
      </c>
    </row>
    <row r="9" spans="1:23" ht="20.100000000000001" customHeight="1" x14ac:dyDescent="0.2">
      <c r="A9" s="49" t="s">
        <v>54</v>
      </c>
      <c r="B9" s="41">
        <f t="shared" si="3"/>
        <v>45074</v>
      </c>
      <c r="C9" s="30">
        <f>9000</f>
        <v>9000</v>
      </c>
      <c r="D9" s="30"/>
      <c r="E9" s="30"/>
      <c r="F9" s="30">
        <f t="shared" si="4"/>
        <v>775.4</v>
      </c>
      <c r="G9" s="42">
        <f t="shared" si="5"/>
        <v>9775.4</v>
      </c>
      <c r="H9" s="43">
        <f t="shared" si="6"/>
        <v>0</v>
      </c>
      <c r="I9" s="43">
        <f t="shared" si="0"/>
        <v>0</v>
      </c>
      <c r="J9" s="43">
        <f t="shared" si="12"/>
        <v>9775.4</v>
      </c>
      <c r="K9" s="44">
        <f t="shared" si="7"/>
        <v>518.1</v>
      </c>
      <c r="L9" s="43">
        <f t="shared" ref="L9:L10" si="13">IF(H9&lt;0.004,IF(J9&gt;$L$4/12,$L$4/12,J9),0)</f>
        <v>9775.4</v>
      </c>
      <c r="M9" s="43">
        <f t="shared" si="8"/>
        <v>107.55</v>
      </c>
      <c r="N9" s="43">
        <f t="shared" si="1"/>
        <v>0</v>
      </c>
      <c r="O9" s="43">
        <f t="shared" si="9"/>
        <v>0</v>
      </c>
      <c r="P9" s="39">
        <v>0</v>
      </c>
      <c r="Q9" s="39">
        <v>937.95</v>
      </c>
      <c r="R9" s="44">
        <f t="shared" si="10"/>
        <v>111.1</v>
      </c>
      <c r="S9" s="44"/>
      <c r="T9" s="44">
        <f t="shared" si="11"/>
        <v>53.3</v>
      </c>
      <c r="U9" s="39">
        <v>0</v>
      </c>
      <c r="V9" s="39">
        <v>770</v>
      </c>
      <c r="W9" s="121">
        <f t="shared" si="2"/>
        <v>8042</v>
      </c>
    </row>
    <row r="10" spans="1:23" ht="20.100000000000001" customHeight="1" x14ac:dyDescent="0.2">
      <c r="A10" s="53" t="s">
        <v>44</v>
      </c>
      <c r="B10" s="36">
        <f t="shared" si="3"/>
        <v>45105</v>
      </c>
      <c r="C10" s="30">
        <f>9000</f>
        <v>9000</v>
      </c>
      <c r="D10" s="30"/>
      <c r="E10" s="30"/>
      <c r="F10" s="30">
        <f t="shared" si="4"/>
        <v>775.4</v>
      </c>
      <c r="G10" s="42">
        <f t="shared" si="5"/>
        <v>9775.4</v>
      </c>
      <c r="H10" s="9">
        <f t="shared" si="6"/>
        <v>0</v>
      </c>
      <c r="I10" s="9">
        <f t="shared" si="0"/>
        <v>0</v>
      </c>
      <c r="J10" s="9">
        <f t="shared" si="12"/>
        <v>9775.4</v>
      </c>
      <c r="K10" s="44">
        <f t="shared" si="7"/>
        <v>518.1</v>
      </c>
      <c r="L10" s="9">
        <f t="shared" si="13"/>
        <v>9775.4</v>
      </c>
      <c r="M10" s="43">
        <f t="shared" si="8"/>
        <v>107.55</v>
      </c>
      <c r="N10" s="9">
        <f>IF(H10&lt;0.004,J10-L10,0)</f>
        <v>0</v>
      </c>
      <c r="O10" s="9">
        <f t="shared" si="9"/>
        <v>0</v>
      </c>
      <c r="P10" s="39">
        <v>0</v>
      </c>
      <c r="Q10" s="39">
        <v>937.95</v>
      </c>
      <c r="R10" s="44">
        <f t="shared" si="10"/>
        <v>111.1</v>
      </c>
      <c r="S10" s="44"/>
      <c r="T10" s="44">
        <f t="shared" si="11"/>
        <v>53.3</v>
      </c>
      <c r="U10" s="39">
        <v>0</v>
      </c>
      <c r="V10" s="39">
        <v>770</v>
      </c>
      <c r="W10" s="121">
        <f>C10+E10-K10-M10-O10+P10-Q10-R10-S10-T10-U10+V10</f>
        <v>8042</v>
      </c>
    </row>
    <row r="11" spans="1:23" ht="20.100000000000001" customHeight="1" x14ac:dyDescent="0.2">
      <c r="A11" s="49" t="s">
        <v>55</v>
      </c>
      <c r="B11" s="41">
        <f t="shared" si="3"/>
        <v>45135</v>
      </c>
      <c r="C11" s="30">
        <f>9000</f>
        <v>9000</v>
      </c>
      <c r="D11" s="30"/>
      <c r="E11" s="30"/>
      <c r="F11" s="30">
        <f t="shared" si="4"/>
        <v>775.4</v>
      </c>
      <c r="G11" s="42">
        <f t="shared" si="5"/>
        <v>9775.4</v>
      </c>
      <c r="H11" s="43">
        <f t="shared" si="6"/>
        <v>0</v>
      </c>
      <c r="I11" s="43">
        <f t="shared" si="0"/>
        <v>0</v>
      </c>
      <c r="J11" s="43">
        <f t="shared" si="12"/>
        <v>9775.4</v>
      </c>
      <c r="K11" s="44">
        <f t="shared" si="7"/>
        <v>518.1</v>
      </c>
      <c r="L11" s="43">
        <f t="shared" ref="L11:L16" si="14">IF(H11&lt;0.004,IF(J11&gt;$L$4/12,$L$4/12,J11),0)</f>
        <v>9775.4</v>
      </c>
      <c r="M11" s="43">
        <f t="shared" si="8"/>
        <v>107.55</v>
      </c>
      <c r="N11" s="43">
        <f t="shared" si="1"/>
        <v>0</v>
      </c>
      <c r="O11" s="43">
        <f t="shared" si="9"/>
        <v>0</v>
      </c>
      <c r="P11" s="39">
        <v>0</v>
      </c>
      <c r="Q11" s="39">
        <v>937.95</v>
      </c>
      <c r="R11" s="44">
        <f t="shared" si="10"/>
        <v>111.1</v>
      </c>
      <c r="S11" s="44"/>
      <c r="T11" s="44">
        <f t="shared" si="11"/>
        <v>53.3</v>
      </c>
      <c r="U11" s="39">
        <v>0</v>
      </c>
      <c r="V11" s="39">
        <v>770</v>
      </c>
      <c r="W11" s="121">
        <f t="shared" ref="W11:W18" si="15">C11-K11-M11-O11+P11-Q11-R11-S11-T11-U11+V11</f>
        <v>8042</v>
      </c>
    </row>
    <row r="12" spans="1:23" ht="20.100000000000001" customHeight="1" x14ac:dyDescent="0.2">
      <c r="A12" s="53"/>
      <c r="B12" s="36">
        <f t="shared" si="3"/>
        <v>45166</v>
      </c>
      <c r="C12" s="30">
        <f>9000</f>
        <v>9000</v>
      </c>
      <c r="D12" s="30"/>
      <c r="E12" s="30"/>
      <c r="F12" s="30">
        <f t="shared" si="4"/>
        <v>775.4</v>
      </c>
      <c r="G12" s="42">
        <f t="shared" si="5"/>
        <v>9775.4</v>
      </c>
      <c r="H12" s="9">
        <f t="shared" si="6"/>
        <v>0</v>
      </c>
      <c r="I12" s="9">
        <f t="shared" si="0"/>
        <v>0</v>
      </c>
      <c r="J12" s="9">
        <f t="shared" si="12"/>
        <v>9775.4</v>
      </c>
      <c r="K12" s="44">
        <f t="shared" si="7"/>
        <v>518.1</v>
      </c>
      <c r="L12" s="9">
        <f t="shared" si="14"/>
        <v>9775.4</v>
      </c>
      <c r="M12" s="43">
        <f t="shared" si="8"/>
        <v>107.55</v>
      </c>
      <c r="N12" s="9">
        <f t="shared" si="1"/>
        <v>0</v>
      </c>
      <c r="O12" s="9">
        <f t="shared" si="9"/>
        <v>0</v>
      </c>
      <c r="P12" s="39">
        <v>0</v>
      </c>
      <c r="Q12" s="39">
        <v>937.95</v>
      </c>
      <c r="R12" s="44">
        <f t="shared" si="10"/>
        <v>111.1</v>
      </c>
      <c r="S12" s="44"/>
      <c r="T12" s="44">
        <f t="shared" si="11"/>
        <v>53.3</v>
      </c>
      <c r="U12" s="39">
        <v>0</v>
      </c>
      <c r="V12" s="39">
        <v>770</v>
      </c>
      <c r="W12" s="121">
        <f t="shared" si="15"/>
        <v>8042</v>
      </c>
    </row>
    <row r="13" spans="1:23" ht="20.100000000000001" customHeight="1" x14ac:dyDescent="0.2">
      <c r="A13" s="49" t="s">
        <v>56</v>
      </c>
      <c r="B13" s="41">
        <f t="shared" si="3"/>
        <v>45197</v>
      </c>
      <c r="C13" s="30">
        <f>9000</f>
        <v>9000</v>
      </c>
      <c r="D13" s="30"/>
      <c r="E13" s="30"/>
      <c r="F13" s="30">
        <f t="shared" si="4"/>
        <v>775.4</v>
      </c>
      <c r="G13" s="42">
        <f t="shared" si="5"/>
        <v>9775.4</v>
      </c>
      <c r="H13" s="43">
        <f t="shared" si="6"/>
        <v>0</v>
      </c>
      <c r="I13" s="43">
        <f t="shared" si="0"/>
        <v>0</v>
      </c>
      <c r="J13" s="43">
        <f t="shared" si="12"/>
        <v>9775.4</v>
      </c>
      <c r="K13" s="44">
        <f t="shared" si="7"/>
        <v>518.1</v>
      </c>
      <c r="L13" s="43">
        <f t="shared" si="14"/>
        <v>9775.4</v>
      </c>
      <c r="M13" s="43">
        <f t="shared" si="8"/>
        <v>107.55</v>
      </c>
      <c r="N13" s="43">
        <f t="shared" si="1"/>
        <v>0</v>
      </c>
      <c r="O13" s="43">
        <f t="shared" si="9"/>
        <v>0</v>
      </c>
      <c r="P13" s="39">
        <v>0</v>
      </c>
      <c r="Q13" s="39">
        <v>937.95</v>
      </c>
      <c r="R13" s="44">
        <f t="shared" si="10"/>
        <v>111.1</v>
      </c>
      <c r="S13" s="44"/>
      <c r="T13" s="44">
        <f t="shared" si="11"/>
        <v>53.3</v>
      </c>
      <c r="U13" s="39">
        <v>0</v>
      </c>
      <c r="V13" s="39">
        <v>770</v>
      </c>
      <c r="W13" s="121">
        <f t="shared" si="15"/>
        <v>8042</v>
      </c>
    </row>
    <row r="14" spans="1:23" ht="20.100000000000001" customHeight="1" x14ac:dyDescent="0.2">
      <c r="A14" s="53"/>
      <c r="B14" s="36">
        <f t="shared" si="3"/>
        <v>45227</v>
      </c>
      <c r="C14" s="30">
        <f>9000</f>
        <v>9000</v>
      </c>
      <c r="D14" s="30"/>
      <c r="E14" s="30"/>
      <c r="F14" s="30">
        <f t="shared" si="4"/>
        <v>775.4</v>
      </c>
      <c r="G14" s="42">
        <f t="shared" si="5"/>
        <v>9775.4</v>
      </c>
      <c r="H14" s="9">
        <f t="shared" si="6"/>
        <v>0</v>
      </c>
      <c r="I14" s="9">
        <f t="shared" si="0"/>
        <v>0</v>
      </c>
      <c r="J14" s="9">
        <f t="shared" si="12"/>
        <v>9775.4</v>
      </c>
      <c r="K14" s="44">
        <f t="shared" si="7"/>
        <v>518.1</v>
      </c>
      <c r="L14" s="9">
        <f t="shared" si="14"/>
        <v>9775.4</v>
      </c>
      <c r="M14" s="43">
        <f t="shared" si="8"/>
        <v>107.55</v>
      </c>
      <c r="N14" s="9">
        <f t="shared" si="1"/>
        <v>0</v>
      </c>
      <c r="O14" s="9">
        <f t="shared" si="9"/>
        <v>0</v>
      </c>
      <c r="P14" s="39">
        <v>0</v>
      </c>
      <c r="Q14" s="39">
        <v>937.95</v>
      </c>
      <c r="R14" s="44">
        <f t="shared" si="10"/>
        <v>111.1</v>
      </c>
      <c r="S14" s="44"/>
      <c r="T14" s="44">
        <f t="shared" si="11"/>
        <v>53.3</v>
      </c>
      <c r="U14" s="39">
        <v>0</v>
      </c>
      <c r="V14" s="39">
        <v>770</v>
      </c>
      <c r="W14" s="121">
        <f t="shared" si="15"/>
        <v>8042</v>
      </c>
    </row>
    <row r="15" spans="1:23" ht="20.100000000000001" customHeight="1" x14ac:dyDescent="0.2">
      <c r="A15" s="49" t="s">
        <v>49</v>
      </c>
      <c r="B15" s="41">
        <f t="shared" si="3"/>
        <v>45258</v>
      </c>
      <c r="C15" s="30">
        <f>9000</f>
        <v>9000</v>
      </c>
      <c r="D15" s="30"/>
      <c r="E15" s="30"/>
      <c r="F15" s="30">
        <f t="shared" si="4"/>
        <v>775.4</v>
      </c>
      <c r="G15" s="42">
        <f t="shared" si="5"/>
        <v>9775.4</v>
      </c>
      <c r="H15" s="43">
        <f t="shared" si="6"/>
        <v>0</v>
      </c>
      <c r="I15" s="43">
        <f t="shared" si="0"/>
        <v>0</v>
      </c>
      <c r="J15" s="43">
        <f t="shared" si="12"/>
        <v>9775.4</v>
      </c>
      <c r="K15" s="44">
        <f t="shared" si="7"/>
        <v>518.1</v>
      </c>
      <c r="L15" s="43">
        <f t="shared" si="14"/>
        <v>9775.4</v>
      </c>
      <c r="M15" s="43">
        <f t="shared" si="8"/>
        <v>107.55</v>
      </c>
      <c r="N15" s="43">
        <f t="shared" si="1"/>
        <v>0</v>
      </c>
      <c r="O15" s="43">
        <f t="shared" si="9"/>
        <v>0</v>
      </c>
      <c r="P15" s="39">
        <v>0</v>
      </c>
      <c r="Q15" s="39">
        <v>937.95</v>
      </c>
      <c r="R15" s="44">
        <f t="shared" si="10"/>
        <v>111.1</v>
      </c>
      <c r="S15" s="44"/>
      <c r="T15" s="44">
        <f t="shared" si="11"/>
        <v>53.3</v>
      </c>
      <c r="U15" s="39">
        <v>0</v>
      </c>
      <c r="V15" s="39">
        <v>770</v>
      </c>
      <c r="W15" s="121">
        <f t="shared" si="15"/>
        <v>8042</v>
      </c>
    </row>
    <row r="16" spans="1:23" ht="20.100000000000001" customHeight="1" x14ac:dyDescent="0.2">
      <c r="A16" s="53" t="s">
        <v>50</v>
      </c>
      <c r="B16" s="36">
        <f t="shared" si="3"/>
        <v>45288</v>
      </c>
      <c r="C16" s="30">
        <f>9000</f>
        <v>9000</v>
      </c>
      <c r="D16" s="30">
        <f>(SUM(C5:C16))/12</f>
        <v>9000</v>
      </c>
      <c r="E16" s="30"/>
      <c r="F16" s="30">
        <f t="shared" si="4"/>
        <v>775.4</v>
      </c>
      <c r="G16" s="42">
        <f t="shared" si="5"/>
        <v>9775.4</v>
      </c>
      <c r="H16" s="9">
        <f t="shared" si="6"/>
        <v>0</v>
      </c>
      <c r="I16" s="9">
        <f t="shared" si="0"/>
        <v>0</v>
      </c>
      <c r="J16" s="9">
        <f t="shared" si="12"/>
        <v>9775.4</v>
      </c>
      <c r="K16" s="44">
        <f t="shared" si="7"/>
        <v>518.1</v>
      </c>
      <c r="L16" s="38">
        <f t="shared" si="14"/>
        <v>9775.4</v>
      </c>
      <c r="M16" s="43">
        <f t="shared" si="8"/>
        <v>107.55</v>
      </c>
      <c r="N16" s="9">
        <f t="shared" si="1"/>
        <v>0</v>
      </c>
      <c r="O16" s="9">
        <f t="shared" si="9"/>
        <v>0</v>
      </c>
      <c r="P16" s="39">
        <v>0</v>
      </c>
      <c r="Q16" s="39">
        <v>937.95</v>
      </c>
      <c r="R16" s="44">
        <f t="shared" si="10"/>
        <v>111.1</v>
      </c>
      <c r="S16" s="44"/>
      <c r="T16" s="44">
        <f t="shared" si="11"/>
        <v>53.3</v>
      </c>
      <c r="U16" s="39">
        <v>0</v>
      </c>
      <c r="V16" s="39">
        <v>770</v>
      </c>
      <c r="W16" s="121">
        <f t="shared" si="15"/>
        <v>8042</v>
      </c>
    </row>
    <row r="17" spans="1:23" ht="20.100000000000001" customHeight="1" x14ac:dyDescent="0.2">
      <c r="A17" s="49" t="s">
        <v>57</v>
      </c>
      <c r="B17" s="40"/>
      <c r="C17" s="38"/>
      <c r="D17" s="38"/>
      <c r="E17" s="57"/>
      <c r="F17" s="46"/>
      <c r="G17" s="42"/>
      <c r="H17" s="43"/>
      <c r="I17" s="43"/>
      <c r="J17" s="43"/>
      <c r="K17" s="44"/>
      <c r="L17" s="42"/>
      <c r="M17" s="43"/>
      <c r="N17" s="43"/>
      <c r="O17" s="43"/>
      <c r="P17" s="45"/>
      <c r="Q17" s="44"/>
      <c r="R17" s="44"/>
      <c r="S17" s="44"/>
      <c r="T17" s="44"/>
      <c r="U17" s="39"/>
      <c r="V17" s="39"/>
      <c r="W17" s="121">
        <f t="shared" si="15"/>
        <v>0</v>
      </c>
    </row>
    <row r="18" spans="1:23" ht="20.100000000000001" customHeight="1" x14ac:dyDescent="0.2">
      <c r="A18" s="52" t="s">
        <v>59</v>
      </c>
      <c r="B18" s="36"/>
      <c r="C18" s="30"/>
      <c r="D18" s="30"/>
      <c r="E18" s="30"/>
      <c r="F18" s="46"/>
      <c r="G18" s="42"/>
      <c r="H18" s="9"/>
      <c r="I18" s="9"/>
      <c r="J18" s="9"/>
      <c r="K18" s="44"/>
      <c r="L18" s="38"/>
      <c r="M18" s="43"/>
      <c r="N18" s="9"/>
      <c r="O18" s="9"/>
      <c r="P18" s="39"/>
      <c r="Q18" s="20"/>
      <c r="R18" s="44"/>
      <c r="S18" s="44"/>
      <c r="T18" s="44"/>
      <c r="U18" s="39"/>
      <c r="V18" s="39"/>
      <c r="W18" s="121">
        <f t="shared" si="15"/>
        <v>0</v>
      </c>
    </row>
    <row r="19" spans="1:23" ht="20.100000000000001" customHeight="1" x14ac:dyDescent="0.2">
      <c r="A19" s="49" t="s">
        <v>58</v>
      </c>
      <c r="B19" s="151" t="s">
        <v>93</v>
      </c>
      <c r="C19" s="152"/>
      <c r="D19" s="153"/>
      <c r="E19" s="143"/>
      <c r="F19" s="46"/>
      <c r="G19" s="42">
        <f>E19+F19</f>
        <v>0</v>
      </c>
      <c r="H19" s="43"/>
      <c r="I19" s="43">
        <f t="shared" si="0"/>
        <v>0</v>
      </c>
      <c r="J19" s="43">
        <f t="shared" si="12"/>
        <v>0</v>
      </c>
      <c r="K19" s="44">
        <f t="shared" si="7"/>
        <v>0</v>
      </c>
      <c r="L19" s="42">
        <f>IF(SUM(L5:L18)+(IF($H$16&lt;0.004,IF(J19&gt;$L$4/12,$L$4/12,J19),0))&gt;$L$4,$L$4-(SUM(L5:L18)),(IF($H$16&lt;0.004,IF(J19&gt;$L$4/12,$L$4/12,J19),0)))</f>
        <v>0</v>
      </c>
      <c r="M19" s="43">
        <f t="shared" si="8"/>
        <v>0</v>
      </c>
      <c r="N19" s="43">
        <f>IF(H16&lt;0.004,J19-L19,0)</f>
        <v>0</v>
      </c>
      <c r="O19" s="43">
        <f t="shared" si="9"/>
        <v>0</v>
      </c>
      <c r="P19" s="45"/>
      <c r="Q19" s="44"/>
      <c r="R19" s="44">
        <f t="shared" si="10"/>
        <v>0</v>
      </c>
      <c r="S19" s="44"/>
      <c r="T19" s="44">
        <f t="shared" si="11"/>
        <v>0</v>
      </c>
      <c r="U19" s="39">
        <v>0</v>
      </c>
      <c r="V19" s="39"/>
      <c r="W19" s="121">
        <f>E19-K19-M19-O19+P19-Q19-R19-S19-T19-U19+V19</f>
        <v>0</v>
      </c>
    </row>
    <row r="20" spans="1:23" s="56" customFormat="1" ht="20.100000000000001" customHeight="1" x14ac:dyDescent="0.2">
      <c r="A20" s="54" t="s">
        <v>51</v>
      </c>
      <c r="B20" s="37"/>
      <c r="C20" s="55">
        <f>SUM(C5:C18)</f>
        <v>108000</v>
      </c>
      <c r="D20" s="55"/>
      <c r="E20" s="55">
        <f t="shared" ref="E20:R20" si="16">SUM(E5:E19)</f>
        <v>0</v>
      </c>
      <c r="F20" s="134">
        <f t="shared" si="16"/>
        <v>9304.7999999999975</v>
      </c>
      <c r="G20" s="55">
        <f t="shared" si="16"/>
        <v>117304.79999999997</v>
      </c>
      <c r="H20" s="55">
        <f t="shared" si="16"/>
        <v>0</v>
      </c>
      <c r="I20" s="55">
        <f t="shared" si="16"/>
        <v>0</v>
      </c>
      <c r="J20" s="55">
        <f t="shared" si="16"/>
        <v>117304.79999999997</v>
      </c>
      <c r="K20" s="106">
        <f t="shared" si="16"/>
        <v>6217.2000000000016</v>
      </c>
      <c r="L20" s="55">
        <f t="shared" si="16"/>
        <v>117304.79999999997</v>
      </c>
      <c r="M20" s="55">
        <f t="shared" si="16"/>
        <v>1290.5999999999997</v>
      </c>
      <c r="N20" s="55">
        <f t="shared" si="16"/>
        <v>0</v>
      </c>
      <c r="O20" s="55">
        <f t="shared" si="16"/>
        <v>0</v>
      </c>
      <c r="P20" s="55">
        <f t="shared" si="16"/>
        <v>0</v>
      </c>
      <c r="Q20" s="55">
        <f t="shared" si="16"/>
        <v>11255.400000000001</v>
      </c>
      <c r="R20" s="55">
        <f t="shared" si="16"/>
        <v>1333.1999999999998</v>
      </c>
      <c r="S20" s="55">
        <f>SUM(S4:S19)</f>
        <v>6.5312E-3</v>
      </c>
      <c r="T20" s="55">
        <f>SUM(T5:T19)</f>
        <v>639.59999999999991</v>
      </c>
      <c r="U20" s="55">
        <f>SUM(U5:U19)</f>
        <v>0</v>
      </c>
      <c r="V20" s="55">
        <f>SUM(V5:V19)</f>
        <v>9240</v>
      </c>
      <c r="W20" s="55">
        <f>SUM(W5:W19)</f>
        <v>96504</v>
      </c>
    </row>
    <row r="21" spans="1:23" s="128" customFormat="1" ht="20.100000000000001" customHeight="1" x14ac:dyDescent="0.2">
      <c r="A21" s="123"/>
      <c r="B21" s="124" t="s">
        <v>88</v>
      </c>
      <c r="C21" s="125" t="s">
        <v>89</v>
      </c>
      <c r="D21" s="125"/>
      <c r="E21" s="125" t="s">
        <v>90</v>
      </c>
      <c r="F21" s="125" t="s">
        <v>91</v>
      </c>
      <c r="G21" s="125" t="s">
        <v>92</v>
      </c>
      <c r="H21" s="125"/>
      <c r="I21" s="125"/>
      <c r="J21" s="125"/>
      <c r="K21" s="125" t="s">
        <v>103</v>
      </c>
      <c r="L21" s="123"/>
      <c r="M21" s="125" t="s">
        <v>103</v>
      </c>
      <c r="N21" s="125"/>
      <c r="O21" s="125" t="s">
        <v>103</v>
      </c>
      <c r="P21" s="125"/>
      <c r="Q21" s="125"/>
      <c r="R21" s="125" t="s">
        <v>103</v>
      </c>
      <c r="S21" s="125"/>
      <c r="T21" s="126"/>
      <c r="U21" s="127"/>
      <c r="V21" s="125"/>
      <c r="W21" s="142">
        <f>W20+T20+S20+F20</f>
        <v>106448.4065312</v>
      </c>
    </row>
    <row r="22" spans="1:23" ht="20.100000000000001" customHeight="1" x14ac:dyDescent="0.2"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30"/>
      <c r="V22" s="9"/>
      <c r="W22" s="9"/>
    </row>
    <row r="23" spans="1:23" ht="20.100000000000001" customHeight="1" x14ac:dyDescent="0.2">
      <c r="F23" s="9"/>
      <c r="G23" s="9"/>
      <c r="H23" s="9"/>
      <c r="I23" s="9"/>
      <c r="J23" s="9"/>
      <c r="K23" s="9"/>
      <c r="M23" s="9"/>
      <c r="N23" s="9"/>
      <c r="O23" s="9"/>
      <c r="P23" s="9"/>
      <c r="Q23" s="9"/>
      <c r="R23" s="9"/>
      <c r="T23" s="30"/>
      <c r="V23" s="9"/>
      <c r="W23" s="9"/>
    </row>
    <row r="24" spans="1:23" ht="20.100000000000001" customHeight="1" x14ac:dyDescent="0.2">
      <c r="F24" s="9"/>
      <c r="G24" s="9"/>
      <c r="H24" s="9"/>
      <c r="I24" s="9"/>
      <c r="J24" s="9"/>
      <c r="K24" s="9"/>
      <c r="L24" s="9"/>
      <c r="M24" s="9"/>
      <c r="N24" s="9"/>
      <c r="O24" s="30"/>
      <c r="P24" s="9"/>
      <c r="Q24" s="9"/>
      <c r="R24" s="9"/>
      <c r="S24" s="9"/>
      <c r="T24" s="9"/>
      <c r="V24" s="9"/>
      <c r="W24" s="9"/>
    </row>
    <row r="25" spans="1:23" ht="20.100000000000001" customHeight="1" x14ac:dyDescent="0.2"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V25" s="9"/>
      <c r="W25" s="9"/>
    </row>
    <row r="26" spans="1:23" ht="20.100000000000001" customHeight="1" x14ac:dyDescent="0.2"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V26" s="9"/>
      <c r="W26" s="9"/>
    </row>
    <row r="27" spans="1:23" ht="20.100000000000001" customHeight="1" x14ac:dyDescent="0.2">
      <c r="B27" s="34"/>
    </row>
    <row r="28" spans="1:23" ht="20.100000000000001" customHeight="1" x14ac:dyDescent="0.2">
      <c r="B28" s="34"/>
      <c r="N28" s="9"/>
      <c r="O28" s="9"/>
    </row>
    <row r="29" spans="1:23" ht="20.100000000000001" customHeight="1" x14ac:dyDescent="0.2">
      <c r="A29" s="27"/>
      <c r="B29" s="35"/>
    </row>
    <row r="30" spans="1:23" ht="20.100000000000001" customHeight="1" x14ac:dyDescent="0.2">
      <c r="A30" s="27"/>
      <c r="N30" s="9"/>
      <c r="O30" s="9"/>
    </row>
    <row r="31" spans="1:23" ht="20.100000000000001" customHeight="1" x14ac:dyDescent="0.2">
      <c r="A31" s="33"/>
    </row>
    <row r="32" spans="1:23" ht="20.100000000000001" customHeight="1" x14ac:dyDescent="0.2">
      <c r="N32" s="9"/>
      <c r="O32" s="9"/>
    </row>
    <row r="34" spans="2:15" ht="20.100000000000001" customHeight="1" x14ac:dyDescent="0.3">
      <c r="B34" s="32"/>
      <c r="N34" s="9"/>
      <c r="O34" s="9"/>
    </row>
    <row r="36" spans="2:15" ht="20.100000000000001" customHeight="1" x14ac:dyDescent="0.2">
      <c r="N36" s="9"/>
      <c r="O36" s="9"/>
    </row>
    <row r="38" spans="2:15" ht="20.100000000000001" customHeight="1" x14ac:dyDescent="0.2">
      <c r="N38" s="9"/>
      <c r="O38" s="9"/>
    </row>
    <row r="40" spans="2:15" ht="20.100000000000001" customHeight="1" x14ac:dyDescent="0.2">
      <c r="N40" s="9"/>
      <c r="O40" s="9"/>
    </row>
    <row r="42" spans="2:15" ht="20.100000000000001" customHeight="1" x14ac:dyDescent="0.2">
      <c r="N42" s="9"/>
      <c r="O42" s="9"/>
    </row>
  </sheetData>
  <mergeCells count="1">
    <mergeCell ref="B19:C19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&amp;L&amp;18&amp;K02-048Firma&amp;R&amp;18&amp;K02-048Lohnblatt</oddHeader>
    <oddFooter>&amp;L&amp;10&amp;K02-047Vorlage von Treuhand Kaufmann&amp;C&amp;"-,Kursiv"&amp;8&amp;K02-049&amp;Z&amp;F&amp;R&amp;10&amp;K02-048&amp;P/&amp;N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511A-1B51-49FA-85D7-4B0A2A1907F3}">
  <sheetPr>
    <tabColor rgb="FF00B0F0"/>
    <pageSetUpPr fitToPage="1"/>
  </sheetPr>
  <dimension ref="A1:V38"/>
  <sheetViews>
    <sheetView zoomScaleNormal="100" workbookViewId="0">
      <pane ySplit="3" topLeftCell="A4" activePane="bottomLeft" state="frozen"/>
      <selection pane="bottomLeft" activeCell="H21" sqref="H21:K23"/>
    </sheetView>
  </sheetViews>
  <sheetFormatPr baseColWidth="10" defaultColWidth="12" defaultRowHeight="20.100000000000001" customHeight="1" x14ac:dyDescent="0.2"/>
  <cols>
    <col min="1" max="1" width="30.1640625" style="7" customWidth="1"/>
    <col min="2" max="2" width="14.5" style="27" bestFit="1" customWidth="1"/>
    <col min="3" max="3" width="12.1640625" style="9" bestFit="1" customWidth="1"/>
    <col min="4" max="4" width="14.5" style="9" bestFit="1" customWidth="1"/>
    <col min="5" max="6" width="12" style="3"/>
    <col min="7" max="7" width="10.6640625" style="3" bestFit="1" customWidth="1"/>
    <col min="8" max="8" width="9.1640625" style="3" bestFit="1" customWidth="1"/>
    <col min="9" max="10" width="12" style="3"/>
    <col min="11" max="11" width="11.5" style="3" bestFit="1" customWidth="1"/>
    <col min="12" max="12" width="10.1640625" style="3" bestFit="1" customWidth="1"/>
    <col min="13" max="13" width="11.5" style="3" bestFit="1" customWidth="1"/>
    <col min="14" max="14" width="14.1640625" style="3" bestFit="1" customWidth="1"/>
    <col min="15" max="15" width="12" style="3"/>
    <col min="16" max="16" width="12.5" style="3" bestFit="1" customWidth="1"/>
    <col min="17" max="17" width="12" style="3"/>
    <col min="18" max="18" width="13.5" style="3" bestFit="1" customWidth="1"/>
    <col min="20" max="16384" width="12" style="3"/>
  </cols>
  <sheetData>
    <row r="1" spans="1:21" s="1" customFormat="1" ht="20.100000000000001" customHeight="1" x14ac:dyDescent="0.2">
      <c r="A1" s="47">
        <f>Übersicht!A1</f>
        <v>44927</v>
      </c>
      <c r="B1" s="28"/>
      <c r="C1" s="58"/>
      <c r="D1" s="129"/>
      <c r="E1" s="59" t="s">
        <v>45</v>
      </c>
      <c r="F1" s="60"/>
      <c r="G1" s="59" t="s">
        <v>2</v>
      </c>
      <c r="H1" s="59" t="s">
        <v>3</v>
      </c>
      <c r="I1" s="59" t="s">
        <v>4</v>
      </c>
      <c r="J1" s="61"/>
      <c r="K1" s="62"/>
      <c r="L1" s="62"/>
      <c r="M1" s="62"/>
      <c r="N1" s="62"/>
      <c r="O1" s="61"/>
      <c r="P1" s="61"/>
      <c r="Q1" s="61"/>
      <c r="R1" s="63" t="s">
        <v>28</v>
      </c>
      <c r="S1" s="61"/>
      <c r="T1" s="61"/>
      <c r="U1" s="61"/>
    </row>
    <row r="2" spans="1:21" s="7" customFormat="1" ht="20.100000000000001" customHeight="1" x14ac:dyDescent="0.2">
      <c r="A2" s="48" t="s">
        <v>33</v>
      </c>
      <c r="B2" s="18"/>
      <c r="C2" s="102" t="s">
        <v>71</v>
      </c>
      <c r="D2" s="130" t="s">
        <v>72</v>
      </c>
      <c r="E2" s="59" t="s">
        <v>15</v>
      </c>
      <c r="F2" s="64"/>
      <c r="G2" s="59" t="s">
        <v>17</v>
      </c>
      <c r="H2" s="59" t="s">
        <v>18</v>
      </c>
      <c r="I2" s="59" t="s">
        <v>19</v>
      </c>
      <c r="J2" s="63" t="s">
        <v>20</v>
      </c>
      <c r="K2" s="59" t="s">
        <v>47</v>
      </c>
      <c r="L2" s="59" t="s">
        <v>22</v>
      </c>
      <c r="M2" s="59" t="s">
        <v>48</v>
      </c>
      <c r="N2" s="59" t="s">
        <v>24</v>
      </c>
      <c r="O2" s="63"/>
      <c r="P2" s="63"/>
      <c r="Q2" s="63" t="s">
        <v>27</v>
      </c>
      <c r="R2" s="65">
        <f>Übersicht!T2</f>
        <v>6.7999999999999996E-3</v>
      </c>
      <c r="S2" s="63"/>
      <c r="T2" s="63" t="s">
        <v>30</v>
      </c>
      <c r="U2" s="66" t="s">
        <v>31</v>
      </c>
    </row>
    <row r="3" spans="1:21" s="8" customFormat="1" ht="20.100000000000001" customHeight="1" x14ac:dyDescent="0.2">
      <c r="A3" s="50" t="s">
        <v>121</v>
      </c>
      <c r="B3" s="29" t="s">
        <v>46</v>
      </c>
      <c r="C3" s="58" t="s">
        <v>14</v>
      </c>
      <c r="D3" s="129"/>
      <c r="E3" s="59" t="s">
        <v>36</v>
      </c>
      <c r="F3" s="59" t="s">
        <v>16</v>
      </c>
      <c r="G3" s="58">
        <f>1400*12</f>
        <v>16800</v>
      </c>
      <c r="H3" s="58">
        <f>Übersicht!I3</f>
        <v>2300</v>
      </c>
      <c r="I3" s="59" t="s">
        <v>14</v>
      </c>
      <c r="J3" s="67">
        <f>Übersicht!K3</f>
        <v>5.2999999999999999E-2</v>
      </c>
      <c r="K3" s="58">
        <v>148200</v>
      </c>
      <c r="L3" s="68">
        <v>1.0999999999999999E-2</v>
      </c>
      <c r="M3" s="58">
        <v>148200</v>
      </c>
      <c r="N3" s="68">
        <v>5.0000000000000001E-3</v>
      </c>
      <c r="O3" s="67" t="s">
        <v>60</v>
      </c>
      <c r="P3" s="67" t="s">
        <v>26</v>
      </c>
      <c r="Q3" s="67">
        <f>Übersicht!R3</f>
        <v>1.13653E-2</v>
      </c>
      <c r="R3" s="69">
        <f>Übersicht!T3</f>
        <v>5.45E-3</v>
      </c>
      <c r="S3" s="67" t="s">
        <v>29</v>
      </c>
      <c r="T3" s="67" t="s">
        <v>38</v>
      </c>
      <c r="U3" s="70"/>
    </row>
    <row r="4" spans="1:21" ht="20.100000000000001" customHeight="1" x14ac:dyDescent="0.2">
      <c r="A4" s="49" t="s">
        <v>52</v>
      </c>
      <c r="B4" s="41">
        <f>Übersicht!B2+30</f>
        <v>44957</v>
      </c>
      <c r="C4" s="30">
        <f>ROUND((4500*1.02*2),1)/2</f>
        <v>4590</v>
      </c>
      <c r="D4" s="30"/>
      <c r="E4" s="30">
        <v>0</v>
      </c>
      <c r="F4" s="42">
        <f t="shared" ref="F4:F12" si="0">C4+E4</f>
        <v>4590</v>
      </c>
      <c r="G4" s="43">
        <f t="shared" ref="G4:G15" si="1">IF(OR(AND($A$9="w",$A$7+(64*365)&lt;B4),($A$7+(65*365)&lt;B4)),$G$3/12,0)</f>
        <v>0</v>
      </c>
      <c r="H4" s="43">
        <f>IF($F$19&lt;$H$3+0.004,F4,0)</f>
        <v>0</v>
      </c>
      <c r="I4" s="43">
        <f>IF($A$7+6205&gt;$A$1,0,(IF(H4&gt;0.004,(IF(F4-H4&gt;0,F4-H4,0)),(IF(F4-G4&gt;0,F4-G4,0)))))</f>
        <v>4590</v>
      </c>
      <c r="J4" s="44">
        <f>ROUND(2*I4*$J$3,1)/2</f>
        <v>243.25</v>
      </c>
      <c r="K4" s="43">
        <f>IF(G4&lt;0.004,IF(I4&gt;$K$3/12,$K$3/12,I4),0)</f>
        <v>4590</v>
      </c>
      <c r="L4" s="43">
        <f>ROUND(2*K4*$L$3,1)/2</f>
        <v>50.5</v>
      </c>
      <c r="M4" s="43">
        <f t="shared" ref="M4:M15" si="2">IF(G4&lt;0.004,I4-K4,0)</f>
        <v>0</v>
      </c>
      <c r="N4" s="43">
        <f>M4*$N$3</f>
        <v>0</v>
      </c>
      <c r="O4" s="39">
        <v>210</v>
      </c>
      <c r="P4" s="39">
        <v>182.25</v>
      </c>
      <c r="Q4" s="44">
        <f>ROUND((IF($A$15="ja",0,ROUND(F4*$Q$3,2)))*2,1)/2</f>
        <v>52.15</v>
      </c>
      <c r="R4" s="44">
        <f>ROUND((IF($A$9="w",(IF(G4&gt;0.004,0,(F4*$R$2))),(IF(G4&gt;0.004,0,(F4*$R$3)))))*2,1)/2</f>
        <v>25</v>
      </c>
      <c r="S4" s="39">
        <v>0</v>
      </c>
      <c r="T4" s="39">
        <v>0</v>
      </c>
      <c r="U4" s="121">
        <f t="shared" ref="U4:U17" si="3">C4-J4-L4-N4+O4-P4-Q4-R4-S4+T4</f>
        <v>4246.8500000000004</v>
      </c>
    </row>
    <row r="5" spans="1:21" ht="20.100000000000001" customHeight="1" x14ac:dyDescent="0.2">
      <c r="A5" s="51" t="s">
        <v>122</v>
      </c>
      <c r="B5" s="36">
        <f t="shared" ref="B5:B15" si="4">EDATE(B4,1)</f>
        <v>44985</v>
      </c>
      <c r="C5" s="30">
        <f t="shared" ref="C5:C15" si="5">ROUND((4500*1.02*2),1)/2</f>
        <v>4590</v>
      </c>
      <c r="D5" s="30"/>
      <c r="E5" s="30">
        <v>0</v>
      </c>
      <c r="F5" s="38">
        <f t="shared" si="0"/>
        <v>4590</v>
      </c>
      <c r="G5" s="9">
        <f t="shared" si="1"/>
        <v>0</v>
      </c>
      <c r="H5" s="9">
        <f t="shared" ref="H5:H18" si="6">IF($F$19&lt;$H$3+0.004,F5,0)</f>
        <v>0</v>
      </c>
      <c r="I5" s="9">
        <f>IF($A$7+6205&gt;$A$1,0,(IF(H5&gt;0.004,(IF(F5-H5&gt;0,F5-H5,0)),(IF(F5-G5&gt;0,F5-G5,0)))))</f>
        <v>4590</v>
      </c>
      <c r="J5" s="44">
        <f t="shared" ref="J5:J18" si="7">ROUND(2*I5*$J$3,1)/2</f>
        <v>243.25</v>
      </c>
      <c r="K5" s="9">
        <f t="shared" ref="K5:K15" si="8">IF(G5&lt;0.004,IF(I5&gt;$K$3/12,$K$3/12,I5),0)</f>
        <v>4590</v>
      </c>
      <c r="L5" s="43">
        <f t="shared" ref="L5:L18" si="9">ROUND(2*K5*$L$3,1)/2</f>
        <v>50.5</v>
      </c>
      <c r="M5" s="9">
        <f t="shared" si="2"/>
        <v>0</v>
      </c>
      <c r="N5" s="9">
        <f t="shared" ref="N5:N18" si="10">M5*$N$3</f>
        <v>0</v>
      </c>
      <c r="O5" s="39">
        <v>210</v>
      </c>
      <c r="P5" s="39">
        <v>182.25</v>
      </c>
      <c r="Q5" s="44">
        <f t="shared" ref="Q5:Q18" si="11">ROUND((IF($A$15="ja",0,ROUND(F5*$Q$3,2)))*2,1)/2</f>
        <v>52.15</v>
      </c>
      <c r="R5" s="44">
        <f t="shared" ref="R5:R18" si="12">ROUND((IF($A$9="w",(IF(G5&gt;0.004,0,(F5*$R$2))),(IF(G5&gt;0.004,0,(F5*$R$3)))))*2,1)/2</f>
        <v>25</v>
      </c>
      <c r="S5" s="39">
        <v>0</v>
      </c>
      <c r="T5" s="39">
        <v>0</v>
      </c>
      <c r="U5" s="121">
        <f t="shared" si="3"/>
        <v>4246.8500000000004</v>
      </c>
    </row>
    <row r="6" spans="1:21" ht="20.100000000000001" customHeight="1" x14ac:dyDescent="0.2">
      <c r="A6" s="49" t="s">
        <v>53</v>
      </c>
      <c r="B6" s="41">
        <f t="shared" si="4"/>
        <v>45013</v>
      </c>
      <c r="C6" s="30">
        <f t="shared" si="5"/>
        <v>4590</v>
      </c>
      <c r="D6" s="30">
        <v>1</v>
      </c>
      <c r="E6" s="30">
        <v>0</v>
      </c>
      <c r="F6" s="42">
        <f t="shared" si="0"/>
        <v>4590</v>
      </c>
      <c r="G6" s="43">
        <f t="shared" si="1"/>
        <v>0</v>
      </c>
      <c r="H6" s="43">
        <f t="shared" si="6"/>
        <v>0</v>
      </c>
      <c r="I6" s="43">
        <f t="shared" ref="I6:I18" si="13">IF($A$7+6205&gt;$A$1,0,(IF(H6&gt;0.004,(IF(F6-H6&gt;0,F6-H6,0)),(IF(F6-G6&gt;0,F6-G6,0)))))</f>
        <v>4590</v>
      </c>
      <c r="J6" s="44">
        <f t="shared" si="7"/>
        <v>243.25</v>
      </c>
      <c r="K6" s="43">
        <f t="shared" si="8"/>
        <v>4590</v>
      </c>
      <c r="L6" s="43">
        <f t="shared" si="9"/>
        <v>50.5</v>
      </c>
      <c r="M6" s="43">
        <f t="shared" si="2"/>
        <v>0</v>
      </c>
      <c r="N6" s="43">
        <f t="shared" si="10"/>
        <v>0</v>
      </c>
      <c r="O6" s="39">
        <v>210</v>
      </c>
      <c r="P6" s="39">
        <v>182.25</v>
      </c>
      <c r="Q6" s="44">
        <f t="shared" si="11"/>
        <v>52.15</v>
      </c>
      <c r="R6" s="44">
        <f t="shared" si="12"/>
        <v>25</v>
      </c>
      <c r="S6" s="39">
        <v>0</v>
      </c>
      <c r="T6" s="39">
        <v>0</v>
      </c>
      <c r="U6" s="121">
        <f t="shared" si="3"/>
        <v>4246.8500000000004</v>
      </c>
    </row>
    <row r="7" spans="1:21" ht="20.100000000000001" customHeight="1" x14ac:dyDescent="0.2">
      <c r="A7" s="52">
        <v>29221</v>
      </c>
      <c r="B7" s="36">
        <f t="shared" si="4"/>
        <v>45044</v>
      </c>
      <c r="C7" s="30">
        <f t="shared" si="5"/>
        <v>4590</v>
      </c>
      <c r="D7" s="30"/>
      <c r="E7" s="30">
        <v>0</v>
      </c>
      <c r="F7" s="38">
        <f t="shared" si="0"/>
        <v>4590</v>
      </c>
      <c r="G7" s="9">
        <f t="shared" si="1"/>
        <v>0</v>
      </c>
      <c r="H7" s="9">
        <f t="shared" si="6"/>
        <v>0</v>
      </c>
      <c r="I7" s="9">
        <f t="shared" si="13"/>
        <v>4590</v>
      </c>
      <c r="J7" s="44">
        <f t="shared" si="7"/>
        <v>243.25</v>
      </c>
      <c r="K7" s="9">
        <f t="shared" si="8"/>
        <v>4590</v>
      </c>
      <c r="L7" s="43">
        <f t="shared" si="9"/>
        <v>50.5</v>
      </c>
      <c r="M7" s="9">
        <f t="shared" si="2"/>
        <v>0</v>
      </c>
      <c r="N7" s="9">
        <f t="shared" si="10"/>
        <v>0</v>
      </c>
      <c r="O7" s="39">
        <v>210</v>
      </c>
      <c r="P7" s="39">
        <v>182.25</v>
      </c>
      <c r="Q7" s="44">
        <f t="shared" si="11"/>
        <v>52.15</v>
      </c>
      <c r="R7" s="44">
        <f t="shared" si="12"/>
        <v>25</v>
      </c>
      <c r="S7" s="39">
        <v>0</v>
      </c>
      <c r="T7" s="39">
        <v>0</v>
      </c>
      <c r="U7" s="121">
        <f t="shared" si="3"/>
        <v>4246.8500000000004</v>
      </c>
    </row>
    <row r="8" spans="1:21" ht="20.100000000000001" customHeight="1" x14ac:dyDescent="0.2">
      <c r="A8" s="49" t="s">
        <v>54</v>
      </c>
      <c r="B8" s="41">
        <f t="shared" si="4"/>
        <v>45074</v>
      </c>
      <c r="C8" s="30">
        <f t="shared" si="5"/>
        <v>4590</v>
      </c>
      <c r="D8" s="30"/>
      <c r="E8" s="30">
        <v>0</v>
      </c>
      <c r="F8" s="42">
        <f t="shared" si="0"/>
        <v>4590</v>
      </c>
      <c r="G8" s="43">
        <f t="shared" si="1"/>
        <v>0</v>
      </c>
      <c r="H8" s="43">
        <f t="shared" si="6"/>
        <v>0</v>
      </c>
      <c r="I8" s="43">
        <f t="shared" si="13"/>
        <v>4590</v>
      </c>
      <c r="J8" s="44">
        <f t="shared" si="7"/>
        <v>243.25</v>
      </c>
      <c r="K8" s="43">
        <f t="shared" si="8"/>
        <v>4590</v>
      </c>
      <c r="L8" s="43">
        <f t="shared" si="9"/>
        <v>50.5</v>
      </c>
      <c r="M8" s="43">
        <f t="shared" si="2"/>
        <v>0</v>
      </c>
      <c r="N8" s="43">
        <f t="shared" si="10"/>
        <v>0</v>
      </c>
      <c r="O8" s="39">
        <v>210</v>
      </c>
      <c r="P8" s="39">
        <v>182.25</v>
      </c>
      <c r="Q8" s="44">
        <f t="shared" si="11"/>
        <v>52.15</v>
      </c>
      <c r="R8" s="44">
        <f t="shared" si="12"/>
        <v>25</v>
      </c>
      <c r="S8" s="39">
        <v>0</v>
      </c>
      <c r="T8" s="39">
        <v>0</v>
      </c>
      <c r="U8" s="121">
        <f t="shared" si="3"/>
        <v>4246.8500000000004</v>
      </c>
    </row>
    <row r="9" spans="1:21" ht="20.100000000000001" customHeight="1" x14ac:dyDescent="0.2">
      <c r="A9" s="53" t="s">
        <v>44</v>
      </c>
      <c r="B9" s="36">
        <f t="shared" si="4"/>
        <v>45105</v>
      </c>
      <c r="C9" s="30">
        <f t="shared" si="5"/>
        <v>4590</v>
      </c>
      <c r="D9" s="30"/>
      <c r="E9" s="30">
        <v>0</v>
      </c>
      <c r="F9" s="38">
        <f t="shared" si="0"/>
        <v>4590</v>
      </c>
      <c r="G9" s="9">
        <f t="shared" si="1"/>
        <v>0</v>
      </c>
      <c r="H9" s="9">
        <f t="shared" si="6"/>
        <v>0</v>
      </c>
      <c r="I9" s="9">
        <f t="shared" si="13"/>
        <v>4590</v>
      </c>
      <c r="J9" s="44">
        <f t="shared" si="7"/>
        <v>243.25</v>
      </c>
      <c r="K9" s="9">
        <f t="shared" si="8"/>
        <v>4590</v>
      </c>
      <c r="L9" s="43">
        <f t="shared" si="9"/>
        <v>50.5</v>
      </c>
      <c r="M9" s="9">
        <f>IF(G9&lt;0.004,I9-K9,0)</f>
        <v>0</v>
      </c>
      <c r="N9" s="9">
        <f t="shared" si="10"/>
        <v>0</v>
      </c>
      <c r="O9" s="39">
        <v>210</v>
      </c>
      <c r="P9" s="39">
        <v>182.25</v>
      </c>
      <c r="Q9" s="44">
        <f t="shared" si="11"/>
        <v>52.15</v>
      </c>
      <c r="R9" s="44">
        <f t="shared" si="12"/>
        <v>25</v>
      </c>
      <c r="S9" s="39">
        <v>0</v>
      </c>
      <c r="T9" s="39">
        <v>0</v>
      </c>
      <c r="U9" s="121">
        <f t="shared" si="3"/>
        <v>4246.8500000000004</v>
      </c>
    </row>
    <row r="10" spans="1:21" ht="20.100000000000001" customHeight="1" x14ac:dyDescent="0.2">
      <c r="A10" s="49" t="s">
        <v>55</v>
      </c>
      <c r="B10" s="41">
        <f t="shared" si="4"/>
        <v>45135</v>
      </c>
      <c r="C10" s="30">
        <f t="shared" si="5"/>
        <v>4590</v>
      </c>
      <c r="D10" s="30"/>
      <c r="E10" s="30">
        <v>0</v>
      </c>
      <c r="F10" s="42">
        <f t="shared" si="0"/>
        <v>4590</v>
      </c>
      <c r="G10" s="43">
        <f t="shared" si="1"/>
        <v>0</v>
      </c>
      <c r="H10" s="43">
        <f t="shared" si="6"/>
        <v>0</v>
      </c>
      <c r="I10" s="43">
        <f t="shared" si="13"/>
        <v>4590</v>
      </c>
      <c r="J10" s="44">
        <f t="shared" si="7"/>
        <v>243.25</v>
      </c>
      <c r="K10" s="43">
        <f t="shared" si="8"/>
        <v>4590</v>
      </c>
      <c r="L10" s="43">
        <f t="shared" si="9"/>
        <v>50.5</v>
      </c>
      <c r="M10" s="43">
        <f t="shared" si="2"/>
        <v>0</v>
      </c>
      <c r="N10" s="43">
        <f t="shared" si="10"/>
        <v>0</v>
      </c>
      <c r="O10" s="39">
        <v>210</v>
      </c>
      <c r="P10" s="39">
        <v>182.25</v>
      </c>
      <c r="Q10" s="44">
        <f t="shared" si="11"/>
        <v>52.15</v>
      </c>
      <c r="R10" s="44">
        <f t="shared" si="12"/>
        <v>25</v>
      </c>
      <c r="S10" s="39">
        <v>0</v>
      </c>
      <c r="T10" s="39">
        <v>0</v>
      </c>
      <c r="U10" s="121">
        <f t="shared" si="3"/>
        <v>4246.8500000000004</v>
      </c>
    </row>
    <row r="11" spans="1:21" ht="20.100000000000001" customHeight="1" x14ac:dyDescent="0.2">
      <c r="A11" s="53"/>
      <c r="B11" s="36">
        <f t="shared" si="4"/>
        <v>45166</v>
      </c>
      <c r="C11" s="30">
        <f t="shared" si="5"/>
        <v>4590</v>
      </c>
      <c r="D11" s="30"/>
      <c r="E11" s="30">
        <v>0</v>
      </c>
      <c r="F11" s="38">
        <f t="shared" si="0"/>
        <v>4590</v>
      </c>
      <c r="G11" s="9">
        <f t="shared" si="1"/>
        <v>0</v>
      </c>
      <c r="H11" s="9">
        <f t="shared" si="6"/>
        <v>0</v>
      </c>
      <c r="I11" s="9">
        <f t="shared" si="13"/>
        <v>4590</v>
      </c>
      <c r="J11" s="44">
        <f t="shared" si="7"/>
        <v>243.25</v>
      </c>
      <c r="K11" s="9">
        <f t="shared" si="8"/>
        <v>4590</v>
      </c>
      <c r="L11" s="43">
        <f t="shared" si="9"/>
        <v>50.5</v>
      </c>
      <c r="M11" s="9">
        <f t="shared" si="2"/>
        <v>0</v>
      </c>
      <c r="N11" s="9">
        <f t="shared" si="10"/>
        <v>0</v>
      </c>
      <c r="O11" s="39">
        <v>210</v>
      </c>
      <c r="P11" s="39">
        <v>182.25</v>
      </c>
      <c r="Q11" s="44">
        <f t="shared" si="11"/>
        <v>52.15</v>
      </c>
      <c r="R11" s="44">
        <f t="shared" si="12"/>
        <v>25</v>
      </c>
      <c r="S11" s="39">
        <v>0</v>
      </c>
      <c r="T11" s="39">
        <v>0</v>
      </c>
      <c r="U11" s="121">
        <f t="shared" si="3"/>
        <v>4246.8500000000004</v>
      </c>
    </row>
    <row r="12" spans="1:21" ht="20.100000000000001" customHeight="1" x14ac:dyDescent="0.2">
      <c r="A12" s="49" t="s">
        <v>56</v>
      </c>
      <c r="B12" s="41">
        <f t="shared" si="4"/>
        <v>45197</v>
      </c>
      <c r="C12" s="30">
        <f t="shared" si="5"/>
        <v>4590</v>
      </c>
      <c r="D12" s="30"/>
      <c r="E12" s="30">
        <v>0</v>
      </c>
      <c r="F12" s="42">
        <f t="shared" si="0"/>
        <v>4590</v>
      </c>
      <c r="G12" s="43">
        <f t="shared" si="1"/>
        <v>0</v>
      </c>
      <c r="H12" s="43">
        <f t="shared" si="6"/>
        <v>0</v>
      </c>
      <c r="I12" s="43">
        <f t="shared" si="13"/>
        <v>4590</v>
      </c>
      <c r="J12" s="44">
        <f t="shared" si="7"/>
        <v>243.25</v>
      </c>
      <c r="K12" s="43">
        <f t="shared" si="8"/>
        <v>4590</v>
      </c>
      <c r="L12" s="43">
        <f t="shared" si="9"/>
        <v>50.5</v>
      </c>
      <c r="M12" s="43">
        <f t="shared" si="2"/>
        <v>0</v>
      </c>
      <c r="N12" s="43">
        <f t="shared" si="10"/>
        <v>0</v>
      </c>
      <c r="O12" s="39">
        <v>210</v>
      </c>
      <c r="P12" s="39">
        <v>182.25</v>
      </c>
      <c r="Q12" s="44">
        <f t="shared" si="11"/>
        <v>52.15</v>
      </c>
      <c r="R12" s="44">
        <f t="shared" si="12"/>
        <v>25</v>
      </c>
      <c r="S12" s="39">
        <v>0</v>
      </c>
      <c r="T12" s="39">
        <v>0</v>
      </c>
      <c r="U12" s="121">
        <f t="shared" si="3"/>
        <v>4246.8500000000004</v>
      </c>
    </row>
    <row r="13" spans="1:21" ht="20.100000000000001" customHeight="1" x14ac:dyDescent="0.2">
      <c r="A13" s="53"/>
      <c r="B13" s="36">
        <f t="shared" si="4"/>
        <v>45227</v>
      </c>
      <c r="C13" s="30">
        <f t="shared" si="5"/>
        <v>4590</v>
      </c>
      <c r="D13" s="30"/>
      <c r="E13" s="30">
        <v>0</v>
      </c>
      <c r="F13" s="38">
        <f>C13+E13</f>
        <v>4590</v>
      </c>
      <c r="G13" s="9">
        <f t="shared" si="1"/>
        <v>0</v>
      </c>
      <c r="H13" s="9">
        <f t="shared" si="6"/>
        <v>0</v>
      </c>
      <c r="I13" s="9">
        <f t="shared" si="13"/>
        <v>4590</v>
      </c>
      <c r="J13" s="44">
        <f t="shared" si="7"/>
        <v>243.25</v>
      </c>
      <c r="K13" s="9">
        <f t="shared" si="8"/>
        <v>4590</v>
      </c>
      <c r="L13" s="43">
        <f t="shared" si="9"/>
        <v>50.5</v>
      </c>
      <c r="M13" s="9">
        <f t="shared" si="2"/>
        <v>0</v>
      </c>
      <c r="N13" s="9">
        <f t="shared" si="10"/>
        <v>0</v>
      </c>
      <c r="O13" s="39">
        <v>210</v>
      </c>
      <c r="P13" s="39">
        <v>182.25</v>
      </c>
      <c r="Q13" s="44">
        <f t="shared" si="11"/>
        <v>52.15</v>
      </c>
      <c r="R13" s="44">
        <f t="shared" si="12"/>
        <v>25</v>
      </c>
      <c r="S13" s="39">
        <v>0</v>
      </c>
      <c r="T13" s="39">
        <v>0</v>
      </c>
      <c r="U13" s="121">
        <f t="shared" si="3"/>
        <v>4246.8500000000004</v>
      </c>
    </row>
    <row r="14" spans="1:21" ht="20.100000000000001" customHeight="1" x14ac:dyDescent="0.2">
      <c r="A14" s="49" t="s">
        <v>49</v>
      </c>
      <c r="B14" s="41">
        <f t="shared" si="4"/>
        <v>45258</v>
      </c>
      <c r="C14" s="30">
        <f t="shared" si="5"/>
        <v>4590</v>
      </c>
      <c r="D14" s="30"/>
      <c r="E14" s="30">
        <v>0</v>
      </c>
      <c r="F14" s="42">
        <f>C14+E14</f>
        <v>4590</v>
      </c>
      <c r="G14" s="43">
        <f t="shared" si="1"/>
        <v>0</v>
      </c>
      <c r="H14" s="43">
        <f t="shared" si="6"/>
        <v>0</v>
      </c>
      <c r="I14" s="43">
        <f t="shared" si="13"/>
        <v>4590</v>
      </c>
      <c r="J14" s="44">
        <f t="shared" si="7"/>
        <v>243.25</v>
      </c>
      <c r="K14" s="43">
        <f t="shared" si="8"/>
        <v>4590</v>
      </c>
      <c r="L14" s="43">
        <f t="shared" si="9"/>
        <v>50.5</v>
      </c>
      <c r="M14" s="43">
        <f t="shared" si="2"/>
        <v>0</v>
      </c>
      <c r="N14" s="43">
        <f t="shared" si="10"/>
        <v>0</v>
      </c>
      <c r="O14" s="39">
        <v>210</v>
      </c>
      <c r="P14" s="39">
        <v>182.25</v>
      </c>
      <c r="Q14" s="44">
        <f t="shared" si="11"/>
        <v>52.15</v>
      </c>
      <c r="R14" s="44">
        <f t="shared" si="12"/>
        <v>25</v>
      </c>
      <c r="S14" s="39">
        <v>0</v>
      </c>
      <c r="T14" s="39">
        <v>0</v>
      </c>
      <c r="U14" s="121">
        <f t="shared" si="3"/>
        <v>4246.8500000000004</v>
      </c>
    </row>
    <row r="15" spans="1:21" ht="20.100000000000001" customHeight="1" x14ac:dyDescent="0.2">
      <c r="A15" s="53" t="s">
        <v>50</v>
      </c>
      <c r="B15" s="36">
        <f t="shared" si="4"/>
        <v>45288</v>
      </c>
      <c r="C15" s="30">
        <f t="shared" si="5"/>
        <v>4590</v>
      </c>
      <c r="D15" s="30"/>
      <c r="E15" s="30">
        <v>0</v>
      </c>
      <c r="F15" s="38">
        <f>C15+E15</f>
        <v>4590</v>
      </c>
      <c r="G15" s="9">
        <f t="shared" si="1"/>
        <v>0</v>
      </c>
      <c r="H15" s="9">
        <f t="shared" si="6"/>
        <v>0</v>
      </c>
      <c r="I15" s="9">
        <f t="shared" si="13"/>
        <v>4590</v>
      </c>
      <c r="J15" s="44">
        <f t="shared" si="7"/>
        <v>243.25</v>
      </c>
      <c r="K15" s="38">
        <f t="shared" si="8"/>
        <v>4590</v>
      </c>
      <c r="L15" s="43">
        <f t="shared" si="9"/>
        <v>50.5</v>
      </c>
      <c r="M15" s="9">
        <f t="shared" si="2"/>
        <v>0</v>
      </c>
      <c r="N15" s="9">
        <f t="shared" si="10"/>
        <v>0</v>
      </c>
      <c r="O15" s="39">
        <v>210</v>
      </c>
      <c r="P15" s="39">
        <v>182.25</v>
      </c>
      <c r="Q15" s="44">
        <f t="shared" si="11"/>
        <v>52.15</v>
      </c>
      <c r="R15" s="44">
        <f t="shared" si="12"/>
        <v>25</v>
      </c>
      <c r="S15" s="39">
        <v>0</v>
      </c>
      <c r="T15" s="39">
        <v>0</v>
      </c>
      <c r="U15" s="121">
        <f t="shared" si="3"/>
        <v>4246.8500000000004</v>
      </c>
    </row>
    <row r="16" spans="1:21" ht="20.100000000000001" customHeight="1" x14ac:dyDescent="0.2">
      <c r="A16" s="49" t="s">
        <v>57</v>
      </c>
      <c r="B16" s="40"/>
      <c r="C16" s="57"/>
      <c r="D16" s="57"/>
      <c r="E16" s="46"/>
      <c r="F16" s="42"/>
      <c r="G16" s="43"/>
      <c r="H16" s="43"/>
      <c r="I16" s="43"/>
      <c r="J16" s="44"/>
      <c r="K16" s="42"/>
      <c r="L16" s="43"/>
      <c r="M16" s="43"/>
      <c r="N16" s="43"/>
      <c r="O16" s="45"/>
      <c r="P16" s="44"/>
      <c r="Q16" s="44"/>
      <c r="R16" s="44"/>
      <c r="S16" s="39"/>
      <c r="T16" s="39"/>
      <c r="U16" s="121"/>
    </row>
    <row r="17" spans="1:22" ht="20.100000000000001" customHeight="1" x14ac:dyDescent="0.2">
      <c r="A17" s="52">
        <v>42752</v>
      </c>
      <c r="B17" s="36"/>
      <c r="C17" s="57"/>
      <c r="D17" s="57"/>
      <c r="E17" s="30"/>
      <c r="F17" s="38"/>
      <c r="G17" s="9"/>
      <c r="H17" s="9"/>
      <c r="I17" s="9"/>
      <c r="J17" s="44"/>
      <c r="K17" s="38"/>
      <c r="L17" s="43"/>
      <c r="M17" s="9"/>
      <c r="N17" s="9"/>
      <c r="O17" s="39"/>
      <c r="P17" s="20"/>
      <c r="Q17" s="44"/>
      <c r="R17" s="44"/>
      <c r="S17" s="39"/>
      <c r="T17" s="39"/>
      <c r="U17" s="121"/>
    </row>
    <row r="18" spans="1:22" ht="20.100000000000001" customHeight="1" x14ac:dyDescent="0.2">
      <c r="A18" s="49" t="s">
        <v>58</v>
      </c>
      <c r="B18" s="151" t="s">
        <v>93</v>
      </c>
      <c r="C18" s="152"/>
      <c r="D18" s="143"/>
      <c r="E18" s="46"/>
      <c r="F18" s="42"/>
      <c r="G18" s="43"/>
      <c r="H18" s="43"/>
      <c r="I18" s="43"/>
      <c r="J18" s="44"/>
      <c r="K18" s="42"/>
      <c r="L18" s="43"/>
      <c r="M18" s="43"/>
      <c r="N18" s="43"/>
      <c r="O18" s="45"/>
      <c r="P18" s="44"/>
      <c r="Q18" s="44"/>
      <c r="R18" s="44"/>
      <c r="S18" s="39"/>
      <c r="T18" s="39"/>
      <c r="U18" s="121"/>
    </row>
    <row r="19" spans="1:22" s="56" customFormat="1" ht="20.100000000000001" customHeight="1" x14ac:dyDescent="0.2">
      <c r="A19" s="54" t="s">
        <v>51</v>
      </c>
      <c r="B19" s="37"/>
      <c r="C19" s="55">
        <f>SUM(C4:D18)</f>
        <v>55081</v>
      </c>
      <c r="D19" s="131"/>
      <c r="E19" s="55">
        <f t="shared" ref="E19:T19" si="14">SUM(E4:E18)</f>
        <v>0</v>
      </c>
      <c r="F19" s="55">
        <f t="shared" si="14"/>
        <v>55080</v>
      </c>
      <c r="G19" s="55">
        <f t="shared" si="14"/>
        <v>0</v>
      </c>
      <c r="H19" s="55">
        <f t="shared" si="14"/>
        <v>0</v>
      </c>
      <c r="I19" s="55">
        <f t="shared" si="14"/>
        <v>55080</v>
      </c>
      <c r="J19" s="106">
        <f t="shared" si="14"/>
        <v>2919</v>
      </c>
      <c r="K19" s="55">
        <f t="shared" si="14"/>
        <v>55080</v>
      </c>
      <c r="L19" s="55">
        <f t="shared" si="14"/>
        <v>606</v>
      </c>
      <c r="M19" s="55">
        <f t="shared" si="14"/>
        <v>0</v>
      </c>
      <c r="N19" s="55">
        <f t="shared" si="14"/>
        <v>0</v>
      </c>
      <c r="O19" s="55">
        <f t="shared" si="14"/>
        <v>2520</v>
      </c>
      <c r="P19" s="55">
        <f t="shared" si="14"/>
        <v>2187</v>
      </c>
      <c r="Q19" s="55">
        <f t="shared" si="14"/>
        <v>625.79999999999984</v>
      </c>
      <c r="R19" s="55">
        <f t="shared" si="14"/>
        <v>300</v>
      </c>
      <c r="S19" s="55">
        <f t="shared" si="14"/>
        <v>0</v>
      </c>
      <c r="T19" s="55">
        <f t="shared" si="14"/>
        <v>0</v>
      </c>
      <c r="U19" s="55">
        <f>SUM(U4:U18)</f>
        <v>50962.19999999999</v>
      </c>
    </row>
    <row r="20" spans="1:22" ht="20.100000000000001" customHeight="1" x14ac:dyDescent="0.2">
      <c r="A20" s="123"/>
      <c r="B20" s="124" t="s">
        <v>88</v>
      </c>
      <c r="C20" s="125" t="s">
        <v>89</v>
      </c>
      <c r="D20" s="125" t="s">
        <v>90</v>
      </c>
      <c r="E20" s="125" t="s">
        <v>91</v>
      </c>
      <c r="F20" s="125" t="s">
        <v>92</v>
      </c>
      <c r="G20" s="125"/>
      <c r="H20" s="125"/>
      <c r="I20" s="125"/>
      <c r="J20" s="125" t="s">
        <v>103</v>
      </c>
      <c r="K20" s="123"/>
      <c r="L20" s="125" t="s">
        <v>103</v>
      </c>
      <c r="M20" s="125"/>
      <c r="N20" s="125" t="s">
        <v>103</v>
      </c>
      <c r="O20" s="125"/>
      <c r="P20" s="125"/>
      <c r="Q20" s="125" t="s">
        <v>103</v>
      </c>
      <c r="R20" s="125"/>
      <c r="S20" s="126"/>
      <c r="T20" s="127"/>
      <c r="U20" s="125"/>
      <c r="V20" s="142">
        <f>V19+S19+R19+E19</f>
        <v>300</v>
      </c>
    </row>
    <row r="21" spans="1:22" ht="20.100000000000001" customHeight="1" x14ac:dyDescent="0.2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T21" s="9"/>
      <c r="U21" s="9"/>
    </row>
    <row r="22" spans="1:22" ht="20.100000000000001" customHeight="1" x14ac:dyDescent="0.2"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T22" s="9"/>
      <c r="U22" s="9"/>
    </row>
    <row r="23" spans="1:22" ht="20.100000000000001" customHeight="1" x14ac:dyDescent="0.2">
      <c r="B23" s="34"/>
    </row>
    <row r="24" spans="1:22" ht="20.100000000000001" customHeight="1" x14ac:dyDescent="0.2">
      <c r="B24" s="34"/>
      <c r="M24" s="9"/>
      <c r="N24" s="9"/>
    </row>
    <row r="25" spans="1:22" ht="20.100000000000001" customHeight="1" x14ac:dyDescent="0.2">
      <c r="A25" s="27"/>
      <c r="B25" s="35"/>
    </row>
    <row r="26" spans="1:22" ht="20.100000000000001" customHeight="1" x14ac:dyDescent="0.2">
      <c r="A26" s="27"/>
      <c r="M26" s="9"/>
      <c r="N26" s="9"/>
    </row>
    <row r="27" spans="1:22" ht="20.100000000000001" customHeight="1" x14ac:dyDescent="0.2">
      <c r="A27" s="33"/>
    </row>
    <row r="28" spans="1:22" ht="20.100000000000001" customHeight="1" x14ac:dyDescent="0.2">
      <c r="M28" s="9"/>
      <c r="N28" s="9"/>
    </row>
    <row r="30" spans="1:22" ht="20.100000000000001" customHeight="1" x14ac:dyDescent="0.3">
      <c r="B30" s="32"/>
      <c r="M30" s="9"/>
      <c r="N30" s="9"/>
    </row>
    <row r="32" spans="1:22" ht="20.100000000000001" customHeight="1" x14ac:dyDescent="0.2">
      <c r="M32" s="9"/>
      <c r="N32" s="9"/>
    </row>
    <row r="34" spans="13:14" ht="20.100000000000001" customHeight="1" x14ac:dyDescent="0.2">
      <c r="M34" s="9"/>
      <c r="N34" s="9"/>
    </row>
    <row r="36" spans="13:14" ht="20.100000000000001" customHeight="1" x14ac:dyDescent="0.2">
      <c r="M36" s="9"/>
      <c r="N36" s="9"/>
    </row>
    <row r="38" spans="13:14" ht="20.100000000000001" customHeight="1" x14ac:dyDescent="0.2">
      <c r="M38" s="9"/>
      <c r="N38" s="9"/>
    </row>
  </sheetData>
  <mergeCells count="1">
    <mergeCell ref="B18:C18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&amp;L&amp;18&amp;K02-048Firma&amp;R&amp;18&amp;K02-048Lohnblatt</oddHeader>
    <oddFooter>&amp;L&amp;10&amp;K02-047Vorlage von Treuhand Kaufmann&amp;C&amp;"-,Kursiv"&amp;8&amp;K02-049&amp;Z&amp;F&amp;R&amp;10&amp;K02-048&amp;P/&amp;N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62F6DCB-5A97-4330-9523-293876E4E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BB</vt:lpstr>
      <vt:lpstr>DD</vt:lpstr>
      <vt:lpstr>TT</vt:lpstr>
      <vt:lpstr>GG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2019-02-14T19:25:22Z</dcterms:created>
  <dcterms:modified xsi:type="dcterms:W3CDTF">2023-05-05T12:59:38Z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TC028023459991</vt:lpwstr>
  </property>
</Properties>
</file>